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10" windowWidth="15590" windowHeight="6830" tabRatio="458" firstSheet="1" activeTab="1"/>
  </bookViews>
  <sheets>
    <sheet name="Top Sheet" sheetId="9" r:id="rId1"/>
    <sheet name="Summary New Year" sheetId="20" r:id="rId2"/>
    <sheet name="New Year-Full Year" sheetId="1" r:id="rId3"/>
    <sheet name="Pastor Detail" sheetId="21" r:id="rId4"/>
    <sheet name="Band Estimate" sheetId="22" r:id="rId5"/>
  </sheets>
  <definedNames>
    <definedName name="Bud_Yr">'Top Sheet'!$C$2</definedName>
    <definedName name="_xlnm.Print_Titles" localSheetId="2">'New Year-Full Year'!$2:$4</definedName>
    <definedName name="_xlnm.Print_Titles" localSheetId="1">'Summary New Year'!$1:$4</definedName>
  </definedNames>
  <calcPr calcId="124519"/>
</workbook>
</file>

<file path=xl/calcChain.xml><?xml version="1.0" encoding="utf-8"?>
<calcChain xmlns="http://schemas.openxmlformats.org/spreadsheetml/2006/main">
  <c r="U79" i="1"/>
  <c r="T79"/>
  <c r="O177"/>
  <c r="O142"/>
  <c r="O126"/>
  <c r="Q126" s="1"/>
  <c r="O125"/>
  <c r="O124"/>
  <c r="O122"/>
  <c r="Q122" s="1"/>
  <c r="O43"/>
  <c r="W124"/>
  <c r="V126"/>
  <c r="V122"/>
  <c r="C74" i="22"/>
  <c r="C10"/>
  <c r="C64"/>
  <c r="C63"/>
  <c r="E55"/>
  <c r="C55"/>
  <c r="C57" s="1"/>
  <c r="C60" s="1"/>
  <c r="C46"/>
  <c r="C47"/>
  <c r="C30"/>
  <c r="C15"/>
  <c r="C25" s="1"/>
  <c r="C27" s="1"/>
  <c r="C101" i="20"/>
  <c r="E101"/>
  <c r="F101"/>
  <c r="G101" s="1"/>
  <c r="I101"/>
  <c r="J101"/>
  <c r="K101" s="1"/>
  <c r="E58"/>
  <c r="F58"/>
  <c r="G58" s="1"/>
  <c r="I58"/>
  <c r="J58"/>
  <c r="K58" s="1"/>
  <c r="C58"/>
  <c r="J73"/>
  <c r="J74"/>
  <c r="I74"/>
  <c r="I73"/>
  <c r="T118" i="1"/>
  <c r="O135"/>
  <c r="O158"/>
  <c r="O95"/>
  <c r="Q95" s="1"/>
  <c r="V95"/>
  <c r="R95"/>
  <c r="G57" i="21"/>
  <c r="O97" i="1"/>
  <c r="V96"/>
  <c r="R96"/>
  <c r="Q96"/>
  <c r="V94"/>
  <c r="R94"/>
  <c r="Q94"/>
  <c r="V93"/>
  <c r="R93"/>
  <c r="Q93"/>
  <c r="R126" l="1"/>
  <c r="R122"/>
  <c r="C32" i="22"/>
  <c r="C37" s="1"/>
  <c r="C31"/>
  <c r="C67"/>
  <c r="C69" s="1"/>
  <c r="C72" s="1"/>
  <c r="C42"/>
  <c r="C44" s="1"/>
  <c r="C49" s="1"/>
  <c r="C52" s="1"/>
  <c r="G51" i="21"/>
  <c r="G37"/>
  <c r="G30"/>
  <c r="G11"/>
  <c r="F30"/>
  <c r="E30"/>
  <c r="C30"/>
  <c r="G28"/>
  <c r="F28"/>
  <c r="E28"/>
  <c r="D28"/>
  <c r="C28"/>
  <c r="O80" i="1"/>
  <c r="O88"/>
  <c r="O87"/>
  <c r="O86"/>
  <c r="D63" i="21"/>
  <c r="V87" i="1"/>
  <c r="D60" i="21"/>
  <c r="H60"/>
  <c r="H63" s="1"/>
  <c r="H58"/>
  <c r="D58"/>
  <c r="E58"/>
  <c r="F58"/>
  <c r="G58"/>
  <c r="C58"/>
  <c r="H57"/>
  <c r="H39"/>
  <c r="H17"/>
  <c r="H46"/>
  <c r="E3"/>
  <c r="E46"/>
  <c r="E26"/>
  <c r="E14"/>
  <c r="D48"/>
  <c r="D46"/>
  <c r="F46"/>
  <c r="G46"/>
  <c r="C46"/>
  <c r="P143" i="1"/>
  <c r="E74" i="20" l="1"/>
  <c r="C33" i="22"/>
  <c r="C38"/>
  <c r="C39" s="1"/>
  <c r="Q87" i="1"/>
  <c r="R87"/>
  <c r="E33" i="21"/>
  <c r="D33"/>
  <c r="D49" s="1"/>
  <c r="D5"/>
  <c r="D8"/>
  <c r="D14"/>
  <c r="C14"/>
  <c r="F14"/>
  <c r="G14"/>
  <c r="F26"/>
  <c r="G33"/>
  <c r="G38" s="1"/>
  <c r="C8"/>
  <c r="C26" s="1"/>
  <c r="B5"/>
  <c r="O128" i="1"/>
  <c r="O163"/>
  <c r="O156"/>
  <c r="O154"/>
  <c r="O153"/>
  <c r="P144"/>
  <c r="H144"/>
  <c r="H143"/>
  <c r="F143" s="1"/>
  <c r="P137"/>
  <c r="H134"/>
  <c r="P134"/>
  <c r="M130"/>
  <c r="I130"/>
  <c r="E130"/>
  <c r="O7"/>
  <c r="V175"/>
  <c r="R175"/>
  <c r="Q175"/>
  <c r="L135"/>
  <c r="V136"/>
  <c r="R136"/>
  <c r="Q136"/>
  <c r="V143"/>
  <c r="L143"/>
  <c r="V64"/>
  <c r="R64"/>
  <c r="Q64"/>
  <c r="P101"/>
  <c r="C75" i="22" l="1"/>
  <c r="D38" i="21"/>
  <c r="P82" i="1" s="1"/>
  <c r="H23" i="21"/>
  <c r="H21"/>
  <c r="F33"/>
  <c r="F48"/>
  <c r="E38"/>
  <c r="E49"/>
  <c r="C33"/>
  <c r="C48"/>
  <c r="B6"/>
  <c r="O143" i="1"/>
  <c r="W143"/>
  <c r="R135"/>
  <c r="J104" i="20"/>
  <c r="I104"/>
  <c r="F104"/>
  <c r="E104"/>
  <c r="K104" l="1"/>
  <c r="H47" i="21"/>
  <c r="H50" s="1"/>
  <c r="H51" s="1"/>
  <c r="G3"/>
  <c r="G6" s="1"/>
  <c r="C3"/>
  <c r="C6" s="1"/>
  <c r="D3"/>
  <c r="D6" s="1"/>
  <c r="D11" s="1"/>
  <c r="C38"/>
  <c r="C49"/>
  <c r="F38"/>
  <c r="F49"/>
  <c r="R143" i="1"/>
  <c r="G104" i="20"/>
  <c r="Q143" i="1"/>
  <c r="Q135"/>
  <c r="D17" i="21" l="1"/>
  <c r="D21" s="1"/>
  <c r="D23" s="1"/>
  <c r="P79" i="1"/>
  <c r="G17" i="21"/>
  <c r="O79" i="1" s="1"/>
  <c r="C11" i="21"/>
  <c r="C17" s="1"/>
  <c r="F11"/>
  <c r="F17" s="1"/>
  <c r="D36" l="1"/>
  <c r="D37" s="1"/>
  <c r="D47"/>
  <c r="D50" s="1"/>
  <c r="D51" s="1"/>
  <c r="P85" i="1" s="1"/>
  <c r="G21" i="21"/>
  <c r="O81" i="1" s="1"/>
  <c r="C21" i="21"/>
  <c r="C23" s="1"/>
  <c r="F21"/>
  <c r="F23" s="1"/>
  <c r="V144" i="1"/>
  <c r="G23" i="21" l="1"/>
  <c r="G47" s="1"/>
  <c r="G50" s="1"/>
  <c r="O85" i="1" s="1"/>
  <c r="D39" i="21"/>
  <c r="D40" s="1"/>
  <c r="P83" i="1"/>
  <c r="F36" i="21"/>
  <c r="F47"/>
  <c r="F50" s="1"/>
  <c r="F51" s="1"/>
  <c r="C36"/>
  <c r="C47"/>
  <c r="C50" s="1"/>
  <c r="C51" s="1"/>
  <c r="F37"/>
  <c r="F39" s="1"/>
  <c r="F60" s="1"/>
  <c r="F63" s="1"/>
  <c r="C37"/>
  <c r="C39" s="1"/>
  <c r="C60" s="1"/>
  <c r="C63" s="1"/>
  <c r="U98" i="1"/>
  <c r="T98"/>
  <c r="P98"/>
  <c r="O98"/>
  <c r="G36" i="21" l="1"/>
  <c r="G39" s="1"/>
  <c r="G60" s="1"/>
  <c r="G63" s="1"/>
  <c r="C40"/>
  <c r="F40"/>
  <c r="V178" i="1"/>
  <c r="R178"/>
  <c r="V83"/>
  <c r="R84"/>
  <c r="V82"/>
  <c r="R82"/>
  <c r="Q82"/>
  <c r="G40" i="21" l="1"/>
  <c r="O83" i="1"/>
  <c r="V84"/>
  <c r="Q178"/>
  <c r="Q84"/>
  <c r="O89" l="1"/>
  <c r="I110"/>
  <c r="E111"/>
  <c r="O106"/>
  <c r="L139"/>
  <c r="W139" s="1"/>
  <c r="L138"/>
  <c r="L137"/>
  <c r="L134"/>
  <c r="W134" s="1"/>
  <c r="L144"/>
  <c r="H138"/>
  <c r="F138" s="1"/>
  <c r="W138" s="1"/>
  <c r="H137"/>
  <c r="F137" s="1"/>
  <c r="W137" s="1"/>
  <c r="L107"/>
  <c r="F107"/>
  <c r="O107" l="1"/>
  <c r="W107"/>
  <c r="O137"/>
  <c r="F144"/>
  <c r="O101"/>
  <c r="M74"/>
  <c r="I74"/>
  <c r="E74"/>
  <c r="W4"/>
  <c r="T2"/>
  <c r="Q3"/>
  <c r="P3"/>
  <c r="O3"/>
  <c r="Q83" l="1"/>
  <c r="R83"/>
  <c r="P145"/>
  <c r="F73" i="20" s="1"/>
  <c r="O144" i="1"/>
  <c r="G80" s="1"/>
  <c r="W144"/>
  <c r="O134"/>
  <c r="V125"/>
  <c r="R125"/>
  <c r="Q125" l="1"/>
  <c r="V44" l="1"/>
  <c r="R44"/>
  <c r="Q44"/>
  <c r="R144"/>
  <c r="Q144"/>
  <c r="C8" i="20"/>
  <c r="C9"/>
  <c r="C10"/>
  <c r="C11"/>
  <c r="C7"/>
  <c r="C16"/>
  <c r="C17"/>
  <c r="C18"/>
  <c r="C19"/>
  <c r="C15"/>
  <c r="C29"/>
  <c r="C30"/>
  <c r="C31"/>
  <c r="C32"/>
  <c r="C33"/>
  <c r="C34"/>
  <c r="C28"/>
  <c r="C39"/>
  <c r="C40"/>
  <c r="C38"/>
  <c r="C47"/>
  <c r="C46"/>
  <c r="C54"/>
  <c r="C55"/>
  <c r="C56"/>
  <c r="C57"/>
  <c r="C59"/>
  <c r="C53"/>
  <c r="C64"/>
  <c r="C65"/>
  <c r="C66"/>
  <c r="C67"/>
  <c r="C63"/>
  <c r="C80"/>
  <c r="C81"/>
  <c r="C82"/>
  <c r="C83"/>
  <c r="C84"/>
  <c r="C85"/>
  <c r="C79"/>
  <c r="C90"/>
  <c r="C91"/>
  <c r="C92"/>
  <c r="C93"/>
  <c r="C94"/>
  <c r="C89"/>
  <c r="C102"/>
  <c r="C103"/>
  <c r="C105"/>
  <c r="C100"/>
  <c r="O130" i="1"/>
  <c r="O127"/>
  <c r="O121"/>
  <c r="P86"/>
  <c r="F74" i="20" s="1"/>
  <c r="G81" i="1" l="1"/>
  <c r="G82" s="1"/>
  <c r="V174"/>
  <c r="P180" l="1"/>
  <c r="J100" i="20" l="1"/>
  <c r="I100"/>
  <c r="F100"/>
  <c r="R174" i="1"/>
  <c r="E100" i="20" l="1"/>
  <c r="Q174" i="1"/>
  <c r="P26" l="1"/>
  <c r="P27"/>
  <c r="P148"/>
  <c r="P160"/>
  <c r="P169"/>
  <c r="P131"/>
  <c r="P89"/>
  <c r="P103"/>
  <c r="P108"/>
  <c r="P118"/>
  <c r="P74"/>
  <c r="P66"/>
  <c r="P54"/>
  <c r="P20"/>
  <c r="P47"/>
  <c r="F72" i="20" l="1"/>
  <c r="F75" s="1"/>
  <c r="I145" i="1"/>
  <c r="P170"/>
  <c r="I3" i="20"/>
  <c r="J9" l="1"/>
  <c r="J10"/>
  <c r="I9"/>
  <c r="I10"/>
  <c r="E57"/>
  <c r="F57"/>
  <c r="I57"/>
  <c r="J57"/>
  <c r="G57" l="1"/>
  <c r="K57"/>
  <c r="V63" i="1"/>
  <c r="R63"/>
  <c r="Q63" l="1"/>
  <c r="E33" i="20" l="1"/>
  <c r="F33"/>
  <c r="I33"/>
  <c r="J33"/>
  <c r="V116" i="1"/>
  <c r="R116"/>
  <c r="Q116"/>
  <c r="U103"/>
  <c r="T103"/>
  <c r="O103"/>
  <c r="V102"/>
  <c r="R102"/>
  <c r="Q102"/>
  <c r="V101"/>
  <c r="R101"/>
  <c r="Q101"/>
  <c r="H101"/>
  <c r="R103" l="1"/>
  <c r="V103"/>
  <c r="K33" i="20"/>
  <c r="G33"/>
  <c r="Q103" i="1"/>
  <c r="Q179"/>
  <c r="Q177"/>
  <c r="Q176"/>
  <c r="Q168"/>
  <c r="Q167"/>
  <c r="Q166"/>
  <c r="Q165"/>
  <c r="Q164"/>
  <c r="Q163"/>
  <c r="Q159"/>
  <c r="Q158"/>
  <c r="Q157"/>
  <c r="Q156"/>
  <c r="Q155"/>
  <c r="Q154"/>
  <c r="Q153"/>
  <c r="Q147"/>
  <c r="Q142"/>
  <c r="Q140"/>
  <c r="Q130"/>
  <c r="Q129"/>
  <c r="Q128"/>
  <c r="Q123"/>
  <c r="Q121"/>
  <c r="Q117"/>
  <c r="Q115"/>
  <c r="Q114"/>
  <c r="Q113"/>
  <c r="Q112"/>
  <c r="Q107"/>
  <c r="Q97"/>
  <c r="Q92"/>
  <c r="Q98" s="1"/>
  <c r="Q88"/>
  <c r="Q86"/>
  <c r="Q85"/>
  <c r="Q81"/>
  <c r="Q80"/>
  <c r="Q79"/>
  <c r="Q71"/>
  <c r="Q70"/>
  <c r="Q69"/>
  <c r="Q62"/>
  <c r="Q61"/>
  <c r="Q56"/>
  <c r="Q53"/>
  <c r="Q52"/>
  <c r="Q49"/>
  <c r="Q45"/>
  <c r="Q43"/>
  <c r="Q38"/>
  <c r="Q37"/>
  <c r="Q36"/>
  <c r="Q35"/>
  <c r="Q34"/>
  <c r="Q160" l="1"/>
  <c r="Q169"/>
  <c r="Q54"/>
  <c r="Q180"/>
  <c r="Q89"/>
  <c r="Q170" l="1"/>
  <c r="Q134" l="1"/>
  <c r="R38"/>
  <c r="V38"/>
  <c r="G4" i="20" l="1"/>
  <c r="F4"/>
  <c r="E4"/>
  <c r="J4"/>
  <c r="I4"/>
  <c r="V49" i="1"/>
  <c r="R49"/>
  <c r="J43" i="20"/>
  <c r="I43"/>
  <c r="F43"/>
  <c r="E43"/>
  <c r="G43" l="1"/>
  <c r="K43"/>
  <c r="J105" l="1"/>
  <c r="J102"/>
  <c r="J94"/>
  <c r="J93"/>
  <c r="J92"/>
  <c r="J91"/>
  <c r="J90"/>
  <c r="J89"/>
  <c r="J85"/>
  <c r="J84"/>
  <c r="J83"/>
  <c r="J82"/>
  <c r="J81"/>
  <c r="J80"/>
  <c r="J79"/>
  <c r="J67"/>
  <c r="J66"/>
  <c r="J65"/>
  <c r="J64"/>
  <c r="J63"/>
  <c r="J59"/>
  <c r="J56"/>
  <c r="J55"/>
  <c r="J50"/>
  <c r="J47"/>
  <c r="J46"/>
  <c r="J40"/>
  <c r="J39"/>
  <c r="J38"/>
  <c r="J34"/>
  <c r="J32"/>
  <c r="J30"/>
  <c r="J29"/>
  <c r="J28"/>
  <c r="J24"/>
  <c r="J15"/>
  <c r="J11"/>
  <c r="J8"/>
  <c r="J7"/>
  <c r="I103"/>
  <c r="I102"/>
  <c r="I94"/>
  <c r="I93"/>
  <c r="I92"/>
  <c r="I91"/>
  <c r="I90"/>
  <c r="I89"/>
  <c r="I85"/>
  <c r="I84"/>
  <c r="I83"/>
  <c r="I82"/>
  <c r="I81"/>
  <c r="I80"/>
  <c r="I79"/>
  <c r="I67"/>
  <c r="I66"/>
  <c r="I65"/>
  <c r="I64"/>
  <c r="I63"/>
  <c r="I59"/>
  <c r="I56"/>
  <c r="I55"/>
  <c r="I50"/>
  <c r="I47"/>
  <c r="I46"/>
  <c r="I40"/>
  <c r="I39"/>
  <c r="I38"/>
  <c r="I34"/>
  <c r="I32"/>
  <c r="I31"/>
  <c r="I30"/>
  <c r="I29"/>
  <c r="I28"/>
  <c r="I24"/>
  <c r="I19"/>
  <c r="I18"/>
  <c r="I16"/>
  <c r="I15"/>
  <c r="I11"/>
  <c r="I8"/>
  <c r="I7"/>
  <c r="V86" i="1"/>
  <c r="R86"/>
  <c r="J48" i="20" l="1"/>
  <c r="I86"/>
  <c r="I35"/>
  <c r="I12"/>
  <c r="I41"/>
  <c r="J86"/>
  <c r="J95"/>
  <c r="I48"/>
  <c r="I95"/>
  <c r="J12"/>
  <c r="J41"/>
  <c r="I96" l="1"/>
  <c r="J96"/>
  <c r="V129" i="1"/>
  <c r="R129"/>
  <c r="Q7"/>
  <c r="Q72"/>
  <c r="Q73"/>
  <c r="Q60"/>
  <c r="Q65"/>
  <c r="Q59"/>
  <c r="Q46"/>
  <c r="Q39"/>
  <c r="V81"/>
  <c r="R81"/>
  <c r="Q74" l="1"/>
  <c r="Q47"/>
  <c r="Q66"/>
  <c r="F29" i="20"/>
  <c r="F30"/>
  <c r="F31"/>
  <c r="F32"/>
  <c r="F34"/>
  <c r="F38"/>
  <c r="F39"/>
  <c r="F40"/>
  <c r="F46"/>
  <c r="F47"/>
  <c r="F50"/>
  <c r="F53"/>
  <c r="F54"/>
  <c r="F55"/>
  <c r="F56"/>
  <c r="F59"/>
  <c r="F63"/>
  <c r="F64"/>
  <c r="F65"/>
  <c r="F66"/>
  <c r="F67"/>
  <c r="F79"/>
  <c r="F80"/>
  <c r="F81"/>
  <c r="F82"/>
  <c r="F83"/>
  <c r="F84"/>
  <c r="F85"/>
  <c r="F89"/>
  <c r="F90"/>
  <c r="F91"/>
  <c r="F92"/>
  <c r="F93"/>
  <c r="F94"/>
  <c r="F102"/>
  <c r="F103"/>
  <c r="F105"/>
  <c r="F15"/>
  <c r="F16"/>
  <c r="F17"/>
  <c r="F18"/>
  <c r="F19"/>
  <c r="F7"/>
  <c r="O141" i="1"/>
  <c r="Q141" l="1"/>
  <c r="F41" i="20"/>
  <c r="F106"/>
  <c r="F60"/>
  <c r="F68"/>
  <c r="F48"/>
  <c r="F86"/>
  <c r="F95"/>
  <c r="F96" l="1"/>
  <c r="E105" l="1"/>
  <c r="G105" s="1"/>
  <c r="E103"/>
  <c r="G103" s="1"/>
  <c r="E102"/>
  <c r="E93"/>
  <c r="E92"/>
  <c r="E91"/>
  <c r="E90"/>
  <c r="E89"/>
  <c r="E80"/>
  <c r="E81"/>
  <c r="E82"/>
  <c r="G82" s="1"/>
  <c r="E83"/>
  <c r="E84"/>
  <c r="E85"/>
  <c r="E79"/>
  <c r="E67"/>
  <c r="E66"/>
  <c r="E65"/>
  <c r="E64"/>
  <c r="E63"/>
  <c r="E59"/>
  <c r="E56"/>
  <c r="E54"/>
  <c r="E53"/>
  <c r="E50"/>
  <c r="E47"/>
  <c r="E46"/>
  <c r="E40"/>
  <c r="E39"/>
  <c r="E38"/>
  <c r="E29"/>
  <c r="E30"/>
  <c r="E31"/>
  <c r="E32"/>
  <c r="E34"/>
  <c r="K94"/>
  <c r="G19"/>
  <c r="G18"/>
  <c r="G16"/>
  <c r="K10"/>
  <c r="E48" l="1"/>
  <c r="G40"/>
  <c r="G54"/>
  <c r="K11"/>
  <c r="G92"/>
  <c r="G80"/>
  <c r="G84"/>
  <c r="G38"/>
  <c r="G39"/>
  <c r="G59"/>
  <c r="G102"/>
  <c r="E86"/>
  <c r="E106"/>
  <c r="G90"/>
  <c r="G81"/>
  <c r="G85"/>
  <c r="G91"/>
  <c r="G89"/>
  <c r="G93"/>
  <c r="G83"/>
  <c r="G29"/>
  <c r="G34"/>
  <c r="G66"/>
  <c r="G50"/>
  <c r="G30"/>
  <c r="G56"/>
  <c r="G67"/>
  <c r="K30"/>
  <c r="G47"/>
  <c r="G64"/>
  <c r="E68"/>
  <c r="E41"/>
  <c r="G65"/>
  <c r="G32"/>
  <c r="G31"/>
  <c r="K8"/>
  <c r="G100"/>
  <c r="G46"/>
  <c r="K85"/>
  <c r="K32"/>
  <c r="F20"/>
  <c r="G53"/>
  <c r="G17"/>
  <c r="G79"/>
  <c r="G63"/>
  <c r="E55"/>
  <c r="G55" s="1"/>
  <c r="G48" l="1"/>
  <c r="G106"/>
  <c r="E60"/>
  <c r="G68"/>
  <c r="G41"/>
  <c r="G86"/>
  <c r="G60" l="1"/>
  <c r="E94" l="1"/>
  <c r="E95" l="1"/>
  <c r="E96" s="1"/>
  <c r="G96" s="1"/>
  <c r="G94"/>
  <c r="V142" i="1"/>
  <c r="R142"/>
  <c r="G95" i="20" l="1"/>
  <c r="G74"/>
  <c r="H128" i="1"/>
  <c r="H106"/>
  <c r="O19"/>
  <c r="O18"/>
  <c r="O17"/>
  <c r="O16"/>
  <c r="E15" i="20" l="1"/>
  <c r="G15" s="1"/>
  <c r="Q15" i="1"/>
  <c r="E16" i="20"/>
  <c r="Q16" i="1"/>
  <c r="E17" i="20"/>
  <c r="Q17" i="1"/>
  <c r="E18" i="20"/>
  <c r="Q18" i="1"/>
  <c r="E19" i="20"/>
  <c r="Q19" i="1"/>
  <c r="Q137" l="1"/>
  <c r="E20" i="20"/>
  <c r="G20" s="1"/>
  <c r="Q20" i="1"/>
  <c r="E7" i="20"/>
  <c r="G7" l="1"/>
  <c r="Q127" i="1" l="1"/>
  <c r="Q124"/>
  <c r="Q131" l="1"/>
  <c r="Q111"/>
  <c r="Q118" s="1"/>
  <c r="Q106"/>
  <c r="Q108" s="1"/>
  <c r="O27" l="1"/>
  <c r="Q27" s="1"/>
  <c r="O26"/>
  <c r="Q26" s="1"/>
  <c r="K9" i="20" l="1"/>
  <c r="K55"/>
  <c r="K24"/>
  <c r="J53"/>
  <c r="J54"/>
  <c r="J103"/>
  <c r="K103" s="1"/>
  <c r="I68"/>
  <c r="I53"/>
  <c r="I54"/>
  <c r="I17"/>
  <c r="I20" s="1"/>
  <c r="I21" s="1"/>
  <c r="I111" s="1"/>
  <c r="I105"/>
  <c r="K105" s="1"/>
  <c r="K54" l="1"/>
  <c r="I106"/>
  <c r="I60"/>
  <c r="I69" s="1"/>
  <c r="J68"/>
  <c r="J60"/>
  <c r="K53"/>
  <c r="J106"/>
  <c r="K100"/>
  <c r="K7"/>
  <c r="K12"/>
  <c r="K102" l="1"/>
  <c r="K106"/>
  <c r="K90"/>
  <c r="K82"/>
  <c r="K89" l="1"/>
  <c r="K15"/>
  <c r="K59"/>
  <c r="K83"/>
  <c r="K91"/>
  <c r="K40"/>
  <c r="K50"/>
  <c r="K29"/>
  <c r="K93"/>
  <c r="K92"/>
  <c r="K84"/>
  <c r="K81"/>
  <c r="K80"/>
  <c r="K34"/>
  <c r="K67"/>
  <c r="K66"/>
  <c r="K65"/>
  <c r="K64"/>
  <c r="K47"/>
  <c r="K39"/>
  <c r="K95" l="1"/>
  <c r="K79"/>
  <c r="K68"/>
  <c r="K63"/>
  <c r="K56"/>
  <c r="K60"/>
  <c r="K48"/>
  <c r="K46"/>
  <c r="K38"/>
  <c r="K28"/>
  <c r="J31"/>
  <c r="J19"/>
  <c r="K19" s="1"/>
  <c r="J17"/>
  <c r="K17" s="1"/>
  <c r="J18"/>
  <c r="K18" s="1"/>
  <c r="J16"/>
  <c r="K73" l="1"/>
  <c r="J35"/>
  <c r="J69" s="1"/>
  <c r="K31"/>
  <c r="J20"/>
  <c r="K16"/>
  <c r="K96"/>
  <c r="K86"/>
  <c r="K74"/>
  <c r="K35" l="1"/>
  <c r="J21"/>
  <c r="K20"/>
  <c r="K21" l="1"/>
  <c r="J111"/>
  <c r="K111" s="1"/>
  <c r="K41"/>
  <c r="K69"/>
  <c r="U54" i="1" l="1"/>
  <c r="T54"/>
  <c r="O54"/>
  <c r="V53"/>
  <c r="R53"/>
  <c r="V52"/>
  <c r="R52"/>
  <c r="V54" l="1"/>
  <c r="R54"/>
  <c r="R111" l="1"/>
  <c r="R179"/>
  <c r="R177"/>
  <c r="R176"/>
  <c r="R168"/>
  <c r="R167"/>
  <c r="R166"/>
  <c r="R165"/>
  <c r="R164"/>
  <c r="R163"/>
  <c r="R159"/>
  <c r="R158"/>
  <c r="R157"/>
  <c r="R156"/>
  <c r="R155"/>
  <c r="R154"/>
  <c r="R153"/>
  <c r="R147"/>
  <c r="R141"/>
  <c r="R140"/>
  <c r="R137"/>
  <c r="R130"/>
  <c r="R124"/>
  <c r="R123"/>
  <c r="R121"/>
  <c r="R117"/>
  <c r="R115"/>
  <c r="R114"/>
  <c r="R113"/>
  <c r="R112"/>
  <c r="R107"/>
  <c r="R106"/>
  <c r="R97"/>
  <c r="R92"/>
  <c r="R88"/>
  <c r="R80"/>
  <c r="R73"/>
  <c r="R72"/>
  <c r="R71"/>
  <c r="R70"/>
  <c r="R69"/>
  <c r="R65"/>
  <c r="R62"/>
  <c r="R61"/>
  <c r="R60"/>
  <c r="R59"/>
  <c r="R56"/>
  <c r="R46"/>
  <c r="R45"/>
  <c r="R43"/>
  <c r="R39"/>
  <c r="R37"/>
  <c r="R36"/>
  <c r="R35"/>
  <c r="R34"/>
  <c r="R19"/>
  <c r="R18"/>
  <c r="R17"/>
  <c r="R16"/>
  <c r="R15"/>
  <c r="R7"/>
  <c r="V7"/>
  <c r="V179"/>
  <c r="V177"/>
  <c r="V176"/>
  <c r="V168"/>
  <c r="V167"/>
  <c r="V166"/>
  <c r="V165"/>
  <c r="V164"/>
  <c r="V163"/>
  <c r="V159"/>
  <c r="V158"/>
  <c r="V157"/>
  <c r="V156"/>
  <c r="V155"/>
  <c r="V154"/>
  <c r="V153"/>
  <c r="V147"/>
  <c r="V146"/>
  <c r="V145"/>
  <c r="V141"/>
  <c r="V140"/>
  <c r="V137"/>
  <c r="V130"/>
  <c r="V124"/>
  <c r="V123"/>
  <c r="V121"/>
  <c r="V117"/>
  <c r="V115"/>
  <c r="V114"/>
  <c r="V113"/>
  <c r="V112"/>
  <c r="V111"/>
  <c r="V107"/>
  <c r="V106"/>
  <c r="V97"/>
  <c r="V92"/>
  <c r="V88"/>
  <c r="V85"/>
  <c r="V80"/>
  <c r="V73"/>
  <c r="V72"/>
  <c r="V71"/>
  <c r="V70"/>
  <c r="V69"/>
  <c r="V65"/>
  <c r="V62"/>
  <c r="V61"/>
  <c r="V60"/>
  <c r="V59"/>
  <c r="V56"/>
  <c r="V46"/>
  <c r="V45"/>
  <c r="V43"/>
  <c r="V39"/>
  <c r="V37"/>
  <c r="V36"/>
  <c r="V35"/>
  <c r="V34"/>
  <c r="V33"/>
  <c r="V29"/>
  <c r="V19"/>
  <c r="V18"/>
  <c r="V17"/>
  <c r="V16"/>
  <c r="V15"/>
  <c r="V11"/>
  <c r="V10"/>
  <c r="V9"/>
  <c r="V8"/>
  <c r="U12"/>
  <c r="U20"/>
  <c r="U40"/>
  <c r="U47"/>
  <c r="U66"/>
  <c r="U74"/>
  <c r="U108"/>
  <c r="U118"/>
  <c r="U148"/>
  <c r="U160"/>
  <c r="U169"/>
  <c r="U180"/>
  <c r="T180"/>
  <c r="T169"/>
  <c r="T160"/>
  <c r="T148"/>
  <c r="T131"/>
  <c r="I72" i="20" s="1"/>
  <c r="I75" s="1"/>
  <c r="I108" s="1"/>
  <c r="T108" i="1"/>
  <c r="T89"/>
  <c r="T74"/>
  <c r="T66"/>
  <c r="T47"/>
  <c r="T40"/>
  <c r="T20"/>
  <c r="T12"/>
  <c r="O180"/>
  <c r="O169"/>
  <c r="O160"/>
  <c r="O118"/>
  <c r="O108"/>
  <c r="O74"/>
  <c r="O66"/>
  <c r="O47"/>
  <c r="O20"/>
  <c r="U75" l="1"/>
  <c r="T75"/>
  <c r="R66"/>
  <c r="R74"/>
  <c r="R108"/>
  <c r="R20"/>
  <c r="T21"/>
  <c r="T185" s="1"/>
  <c r="R180"/>
  <c r="R169"/>
  <c r="V108"/>
  <c r="V66"/>
  <c r="V20"/>
  <c r="R47"/>
  <c r="R118"/>
  <c r="V47"/>
  <c r="V148"/>
  <c r="V12"/>
  <c r="R160"/>
  <c r="V180"/>
  <c r="V160"/>
  <c r="V169"/>
  <c r="V118"/>
  <c r="V74"/>
  <c r="V40"/>
  <c r="U170"/>
  <c r="U21"/>
  <c r="U185" s="1"/>
  <c r="T170"/>
  <c r="O170"/>
  <c r="V185" l="1"/>
  <c r="V21"/>
  <c r="R170"/>
  <c r="V75"/>
  <c r="V170"/>
  <c r="I109" i="20" l="1"/>
  <c r="I112"/>
  <c r="I113" s="1"/>
  <c r="R134" i="1"/>
  <c r="R79" l="1"/>
  <c r="R85" l="1"/>
  <c r="R89" l="1"/>
  <c r="U89" l="1"/>
  <c r="V79"/>
  <c r="V89" l="1"/>
  <c r="R128" l="1"/>
  <c r="R127"/>
  <c r="O131"/>
  <c r="E145" l="1"/>
  <c r="O145"/>
  <c r="E73" i="20" s="1"/>
  <c r="E72"/>
  <c r="R131" i="1"/>
  <c r="G72" i="20" l="1"/>
  <c r="V128" i="1"/>
  <c r="Q146" l="1"/>
  <c r="R146"/>
  <c r="U131"/>
  <c r="J72" i="20" s="1"/>
  <c r="V127" i="1"/>
  <c r="K72" i="20" l="1"/>
  <c r="J75"/>
  <c r="V131" i="1"/>
  <c r="J108" i="20" l="1"/>
  <c r="K75"/>
  <c r="J109" l="1"/>
  <c r="K109" s="1"/>
  <c r="J112"/>
  <c r="K108"/>
  <c r="E8"/>
  <c r="E9"/>
  <c r="E10"/>
  <c r="O12" i="1"/>
  <c r="O21" s="1"/>
  <c r="O185" s="1"/>
  <c r="E11" i="20"/>
  <c r="K112" l="1"/>
  <c r="J113"/>
  <c r="K113" s="1"/>
  <c r="E12"/>
  <c r="E21" s="1"/>
  <c r="E111" s="1"/>
  <c r="O25" i="1"/>
  <c r="O28" l="1"/>
  <c r="O29" l="1"/>
  <c r="E24" i="20" l="1"/>
  <c r="R10" i="1"/>
  <c r="F10" i="20"/>
  <c r="G10" s="1"/>
  <c r="Q10" i="1"/>
  <c r="R11"/>
  <c r="Q11"/>
  <c r="F11" i="20"/>
  <c r="G11" s="1"/>
  <c r="R8" i="1"/>
  <c r="F8" i="20"/>
  <c r="G8" s="1"/>
  <c r="Q8" i="1"/>
  <c r="R9"/>
  <c r="F9" i="20"/>
  <c r="G9" s="1"/>
  <c r="P12" i="1"/>
  <c r="R12" s="1"/>
  <c r="Q9"/>
  <c r="Q12" l="1"/>
  <c r="Q21" s="1"/>
  <c r="F12" i="20"/>
  <c r="P21" i="1"/>
  <c r="P185" s="1"/>
  <c r="R185" l="1"/>
  <c r="Q185"/>
  <c r="R21"/>
  <c r="P25"/>
  <c r="F21" i="20"/>
  <c r="F111" s="1"/>
  <c r="G111" s="1"/>
  <c r="G12"/>
  <c r="G21" l="1"/>
  <c r="Q25" i="1"/>
  <c r="P28"/>
  <c r="Q28" l="1"/>
  <c r="Q29" s="1"/>
  <c r="P29"/>
  <c r="R29" l="1"/>
  <c r="F24" i="20"/>
  <c r="G24" l="1"/>
  <c r="O40" i="1"/>
  <c r="O75" s="1"/>
  <c r="E28" i="20"/>
  <c r="E35" s="1"/>
  <c r="E69" s="1"/>
  <c r="R33" i="1"/>
  <c r="F28" i="20"/>
  <c r="F35" s="1"/>
  <c r="P40" i="1"/>
  <c r="Q33"/>
  <c r="Q40" s="1"/>
  <c r="Q75" s="1"/>
  <c r="R40" l="1"/>
  <c r="G35" i="20"/>
  <c r="P75" i="1"/>
  <c r="R75" s="1"/>
  <c r="G28" i="20"/>
  <c r="F69"/>
  <c r="G69" l="1"/>
  <c r="F108"/>
  <c r="F112" s="1"/>
  <c r="F113" l="1"/>
  <c r="F109"/>
  <c r="R98" i="1"/>
  <c r="P149"/>
  <c r="P182" l="1"/>
  <c r="P186" s="1"/>
  <c r="R145"/>
  <c r="Q145"/>
  <c r="Q148" s="1"/>
  <c r="O148"/>
  <c r="P183" l="1"/>
  <c r="O149"/>
  <c r="R148"/>
  <c r="P187"/>
  <c r="G73" i="20"/>
  <c r="E75"/>
  <c r="E108" l="1"/>
  <c r="G75"/>
  <c r="O182" i="1"/>
  <c r="R149"/>
  <c r="O183" l="1"/>
  <c r="R183" s="1"/>
  <c r="O186"/>
  <c r="R182"/>
  <c r="E112" i="20"/>
  <c r="E109"/>
  <c r="G109" s="1"/>
  <c r="G108"/>
  <c r="E113" l="1"/>
  <c r="G113" s="1"/>
  <c r="G112"/>
  <c r="Q186" i="1"/>
  <c r="O187"/>
  <c r="R186"/>
  <c r="Q187" l="1"/>
  <c r="R187"/>
  <c r="Q149"/>
  <c r="Q182" s="1"/>
  <c r="Q183" s="1"/>
  <c r="T149"/>
  <c r="T182" s="1"/>
  <c r="T186" l="1"/>
  <c r="T187" s="1"/>
  <c r="T183"/>
  <c r="V98"/>
  <c r="U149"/>
  <c r="U182" l="1"/>
  <c r="V182" s="1"/>
  <c r="V149"/>
  <c r="U186" l="1"/>
  <c r="V186" s="1"/>
  <c r="U183"/>
  <c r="V183" s="1"/>
  <c r="U187" l="1"/>
  <c r="V187" s="1"/>
  <c r="E5" i="21"/>
  <c r="E6" s="1"/>
  <c r="E11" s="1"/>
  <c r="E17" s="1"/>
  <c r="E21" l="1"/>
  <c r="E23" s="1"/>
  <c r="E36" l="1"/>
  <c r="E37" s="1"/>
  <c r="E39" s="1"/>
  <c r="E47"/>
  <c r="E50" s="1"/>
  <c r="E51" s="1"/>
  <c r="E40" l="1"/>
  <c r="E60"/>
  <c r="E63" s="1"/>
</calcChain>
</file>

<file path=xl/comments1.xml><?xml version="1.0" encoding="utf-8"?>
<comments xmlns="http://schemas.openxmlformats.org/spreadsheetml/2006/main">
  <authors>
    <author>Dawn Jacobson</author>
  </authors>
  <commentList>
    <comment ref="G8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Excludes Intern and Parish/Fin Secretary positions for 2019 estimate as these are new people
</t>
        </r>
      </text>
    </comment>
  </commentList>
</comments>
</file>

<file path=xl/comments2.xml><?xml version="1.0" encoding="utf-8"?>
<comments xmlns="http://schemas.openxmlformats.org/spreadsheetml/2006/main">
  <authors>
    <author>Dawn Jacobson</author>
  </authors>
  <commentList>
    <comment ref="D3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Should have been $7,681.  The $8,015 is full year annual cost.  Should have been reduced as Pastor did not work a full year.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<sst xmlns="http://schemas.openxmlformats.org/spreadsheetml/2006/main" count="524" uniqueCount="406">
  <si>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</si>
  <si>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</si>
  <si>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</si>
  <si>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</si>
  <si>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</si>
  <si>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</si>
  <si>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</si>
  <si>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</si>
  <si>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</si>
  <si>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</si>
  <si>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</si>
  <si>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</si>
  <si>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</si>
  <si>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</si>
  <si>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Total Expected Income</t>
  </si>
  <si>
    <t>Line of Credit</t>
  </si>
  <si>
    <t>Line of Credit Interest</t>
  </si>
  <si>
    <t>Parish Ed</t>
  </si>
  <si>
    <t>Confirmation</t>
  </si>
  <si>
    <t>Library</t>
  </si>
  <si>
    <t>First Communion</t>
  </si>
  <si>
    <t>Total Parish Ed</t>
  </si>
  <si>
    <t>Worship Supplies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</si>
  <si>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</si>
  <si>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</si>
  <si>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</si>
  <si>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</si>
  <si>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</si>
  <si>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</si>
  <si>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</si>
  <si>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</si>
  <si>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</si>
  <si>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</si>
  <si>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</si>
  <si>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</si>
  <si>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</si>
  <si>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</si>
  <si>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</si>
  <si>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</si>
  <si>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</si>
  <si>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</si>
  <si>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</si>
  <si>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</si>
  <si>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</si>
  <si>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</si>
  <si>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</si>
  <si>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</si>
  <si>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Youth Assistant</t>
  </si>
  <si>
    <t>Total Youth Director</t>
  </si>
  <si>
    <t>Dental Premium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</si>
  <si>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</si>
  <si>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</si>
  <si>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</si>
  <si>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</si>
  <si>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</si>
  <si>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</si>
  <si>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</si>
  <si>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</si>
  <si>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</si>
  <si>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</si>
  <si>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</si>
  <si>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</si>
  <si>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</si>
  <si>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</si>
  <si>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</si>
  <si>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</si>
  <si>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</si>
  <si>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</si>
  <si>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</si>
  <si>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</si>
  <si>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</si>
  <si>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</si>
  <si>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</si>
  <si>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</si>
  <si>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</si>
  <si>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</si>
  <si>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</si>
  <si>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</si>
  <si>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Interest-Line of Credit</t>
  </si>
  <si>
    <t>Total Church Maintenance</t>
  </si>
  <si>
    <t>TOTAL FACILITIES</t>
  </si>
  <si>
    <t>Disbursements</t>
  </si>
  <si>
    <t>Restricted Funds</t>
  </si>
  <si>
    <t>Operating Fund Reserve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</si>
  <si>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</si>
  <si>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</si>
  <si>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</si>
  <si>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</si>
  <si>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</si>
  <si>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</si>
  <si>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</si>
  <si>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</si>
  <si>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</si>
  <si>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TOTAL PROGRAMS</t>
  </si>
  <si>
    <t>Total Church Membership</t>
  </si>
  <si>
    <t>Sunday Coffee</t>
  </si>
  <si>
    <t>Benevolence</t>
  </si>
  <si>
    <t>10% Benevolence</t>
  </si>
  <si>
    <t>Church Membership</t>
  </si>
  <si>
    <t>Clearing Account</t>
  </si>
  <si>
    <t>Church Membership Activities</t>
  </si>
  <si>
    <t>Financial Secretary</t>
  </si>
  <si>
    <t>Maint.  Supplies</t>
  </si>
  <si>
    <t>Salary Calc Estimate</t>
  </si>
  <si>
    <t>Staff Contingency</t>
  </si>
  <si>
    <t>Maintenance Contracts</t>
  </si>
  <si>
    <t>Other Benefits and taxes</t>
  </si>
  <si>
    <t>Increase for Staff</t>
  </si>
  <si>
    <t>Increase for Music</t>
  </si>
  <si>
    <t>Total Staff</t>
  </si>
  <si>
    <t>City Assessment</t>
  </si>
  <si>
    <t>Tax Allowance</t>
  </si>
  <si>
    <t>Youth Choir Accompianist</t>
  </si>
  <si>
    <t>Business Expenses</t>
  </si>
  <si>
    <t>Adult Education</t>
  </si>
  <si>
    <t>Director of Traditional Worship</t>
  </si>
  <si>
    <t>Flutist and Extra Music</t>
  </si>
  <si>
    <t>Total adjusted Expected Income</t>
  </si>
  <si>
    <t>Misc Expenses</t>
  </si>
  <si>
    <t>$</t>
  </si>
  <si>
    <t>%</t>
  </si>
  <si>
    <t xml:space="preserve"> 2017 Budget Notes</t>
  </si>
  <si>
    <t>Deacon</t>
  </si>
  <si>
    <t>Projectionist</t>
  </si>
  <si>
    <t>Organ/Piano Maintenance</t>
  </si>
  <si>
    <t>Same as last year</t>
  </si>
  <si>
    <t>Sames as last year</t>
  </si>
  <si>
    <t>The Racine Interfaith Coalition advertising costs $250 but they give back $50.  The Committee would like to Donate the $50 back to RIC.</t>
  </si>
  <si>
    <t xml:space="preserve">Increase to align with all staff, recognize focus and key asset of Youth and the 15 years of exceptional service </t>
  </si>
  <si>
    <t>4 hours per week Sept-May (less Lent):   $10/hours at 4 hours per week for 40 weeks</t>
  </si>
  <si>
    <t>Adjust more in line for all staff positions</t>
  </si>
  <si>
    <r>
      <t xml:space="preserve">Decreased to reflect </t>
    </r>
    <r>
      <rPr>
        <b/>
        <u val="singleAccounting"/>
        <sz val="11"/>
        <rFont val="Calibri"/>
        <family val="2"/>
        <scheme val="minor"/>
      </rPr>
      <t>potential</t>
    </r>
    <r>
      <rPr>
        <sz val="11"/>
        <rFont val="Calibri"/>
        <family val="2"/>
        <scheme val="minor"/>
      </rPr>
      <t xml:space="preserve"> trend for future giving.</t>
    </r>
  </si>
  <si>
    <t>Aligned to be more comparable by level and responsibility:  Mark $12.85/hour at 15 hours/week, Del $11.25/hour at 7.5 hours/week, and Rebecca $10.90/hour at 17 hours/week.</t>
  </si>
  <si>
    <t>CLC Activities include:  Malaria breakfast, homeless activity, Souper Bowl of Caring</t>
  </si>
  <si>
    <t>(13 Confirmants) Gowns $450, Breakfast $350, Cake $50, Pictures $200, Flowers $100 and Gifts $250</t>
  </si>
  <si>
    <t>21 Students attended in 2016:  $400 Curriculum and $200 Materials</t>
  </si>
  <si>
    <t>The library purchases the Book Club choice and provides additional reading material for all ages.</t>
  </si>
  <si>
    <t>We did not have First Communion in 2016.  There will be a class in 2017 receiving First Communion.</t>
  </si>
  <si>
    <t>Deacon Janice coordinates this.</t>
  </si>
  <si>
    <t>This amount is not needed every year but we feel it needs to remain as a line item for when supplies do run low.  Luann Vacek is the contract person for this.</t>
  </si>
  <si>
    <t>Sames as last year.  Copy paper reduction.  Less announcements/printing, etc.  Per Janice, we will need additional color printing in 2017 for key communication</t>
  </si>
  <si>
    <t>Johnson Bank:  Banking &amp; Account Fees.  Vanco:  Auto-withdrawal of 22 giving units.  Could increase if more people give on-line</t>
  </si>
  <si>
    <t>Assumed 40 years old with 9-11 year experience (2nd or 3rd call pastor) - 2017 Synod Guidelines (Defined Compensation)</t>
  </si>
  <si>
    <t>Jay confirmed - no change</t>
  </si>
  <si>
    <t>Reimbursement for out-of pocket medical expenses that are not covered under spouse's medical insurance.  (Regular salary time only:  July - Dec)</t>
  </si>
  <si>
    <t>Dental Premium is not needed for 2017</t>
  </si>
  <si>
    <t>$24/week for Projection services (none during summer months). Assumed 23 Sundays</t>
  </si>
  <si>
    <t>7.65% of 2017 expected pay-related expenses.</t>
  </si>
  <si>
    <t>Updated by insurance carrier upon completion of annual August audit</t>
  </si>
  <si>
    <t>Light changes.  For 5 months ending Oct savings =$568 or 41% savings per month.</t>
  </si>
  <si>
    <t>Assumes pay off Line of Credit in 2016</t>
  </si>
  <si>
    <t>2016 purchased copier (reduced annual lease cost of $5,810) nearly $6k savings.  Possibly purchase computer for new Pastor and possibly will need a new projector.  Kim received new computer 11/2016 and Janice got a new printer.</t>
  </si>
  <si>
    <t xml:space="preserve">Jan - June:  Kara Baylor:  2 Sundays/month and some visitation ($200/Sunday for 13 Sundays - current supply  pastor rate).  Diane Tetrault:  Bible Study, Shut-ins and some preaching ($400 per month for 6 months) </t>
  </si>
  <si>
    <t>6 months of transition salary ($7,195.75) plus 6 months at 2016 rate.  Readdress in July Janice's pay</t>
  </si>
  <si>
    <t>2% increase:  (Current hourly rate of $14.42*(1+0.02) = $14.78/hour at 20 hours per week for 52 weeks (should cover any needed hours over 20 in business times).  Last year we assumed $14.28/hour for 17 hours at 52 weeks</t>
  </si>
  <si>
    <t>On budget of $702/month effective October 2016.  Currently saved $362.  Announced 16% increase in costs</t>
  </si>
  <si>
    <t>Annual Monitoring Fee is $21.95/month paid once a year….plus additional keys</t>
  </si>
  <si>
    <t>New phone was purchased for Dori in 2016 resulting in $137/month for Janice &amp; Dori (was $159/month).  Suggest additioan $80/month for new Pastor phone and $150 for new phone plus small additioanl for contingency and/or rate adjustment</t>
  </si>
  <si>
    <t>Nationwide:  Commercial Umbrella, Commercial Property, Crime and General Liability</t>
  </si>
  <si>
    <t>Something for Christmas services for the children</t>
  </si>
  <si>
    <t>Includes communion every Sunday (current year is running over budget).  Also, includes Lent and Advent Services.</t>
  </si>
  <si>
    <t>Assumed 40 years - Pension 10% 44 years or less, 11% 45 or over.  Health/Dental is (% of Defined Comp. $49k and $66k Per 2017 Synod Guidelines) is Member/Spouse 25%, M/S/Children 35%, and M/C 25%.  3% Disability, .3% Group Life &amp; $.7% Retiree Support</t>
  </si>
  <si>
    <t>Jay to check why Lynette has not been paid yet this year.</t>
  </si>
  <si>
    <t>2% increase</t>
  </si>
  <si>
    <t>2$ increase</t>
  </si>
  <si>
    <t>5% increase to align better the $ per service between 8am and 10am music services</t>
  </si>
  <si>
    <t>Same as 2016</t>
  </si>
  <si>
    <t>Facilities Fund Reserve</t>
  </si>
  <si>
    <t>Worship</t>
  </si>
  <si>
    <t>Total Worship</t>
  </si>
  <si>
    <t>Total Deacon</t>
  </si>
  <si>
    <t>Senior Pastor</t>
  </si>
  <si>
    <t>Total Senior Pastor</t>
  </si>
  <si>
    <t>Facilities Maintenance</t>
  </si>
  <si>
    <t>Holden and Hymn Services</t>
  </si>
  <si>
    <t>As requested.</t>
  </si>
  <si>
    <t>Operating Expenses</t>
  </si>
  <si>
    <t>Band Subs</t>
  </si>
  <si>
    <t>Dori Rossmann</t>
  </si>
  <si>
    <t>J. Sodke</t>
  </si>
  <si>
    <t>J. Sensig</t>
  </si>
  <si>
    <t>Dee Bliss</t>
  </si>
  <si>
    <t>Chuck Petrach</t>
  </si>
  <si>
    <t>% chg</t>
  </si>
  <si>
    <t>Avg Hrs/Wk</t>
  </si>
  <si>
    <t>$/hr</t>
  </si>
  <si>
    <t>Hourly</t>
  </si>
  <si>
    <t>Budget Year</t>
  </si>
  <si>
    <t># Wk/Yr</t>
  </si>
  <si>
    <t>$200/Sunday for 10 weeks</t>
  </si>
  <si>
    <t>Parish Secretary</t>
  </si>
  <si>
    <t>Target is to have expenses no greater than the estimated envelope giving.</t>
  </si>
  <si>
    <t>Director of Youth Ministry</t>
  </si>
  <si>
    <t>Lead Pastor</t>
  </si>
  <si>
    <t>Operating Income (Envelope Giving)</t>
  </si>
  <si>
    <t>Net Operating Income/(Loss)</t>
  </si>
  <si>
    <t>2018:  Lower per Deacon Janice's recommendation (email 11/14/17)</t>
  </si>
  <si>
    <t>Need to add this back</t>
  </si>
  <si>
    <t>Housing</t>
  </si>
  <si>
    <t>Elected</t>
  </si>
  <si>
    <t>Total</t>
  </si>
  <si>
    <t>Per Compensation Package</t>
  </si>
  <si>
    <t xml:space="preserve">Per Compensation Package.     </t>
  </si>
  <si>
    <t>Pension</t>
  </si>
  <si>
    <t>Other Insurance</t>
  </si>
  <si>
    <t>Medical &amp; Dental Insurance</t>
  </si>
  <si>
    <t>Disability</t>
  </si>
  <si>
    <t>Group Life</t>
  </si>
  <si>
    <t>Retiree</t>
  </si>
  <si>
    <t>For 2018, Pastor Pahl has choosen to waive both Medical and Dental coverage.</t>
  </si>
  <si>
    <t>Medical/Dental premium
     Allowance</t>
  </si>
  <si>
    <t>Synod COLA</t>
  </si>
  <si>
    <t>Disability, Group Life, and Retiree Support</t>
  </si>
  <si>
    <t>Salary and Housing</t>
  </si>
  <si>
    <t>J. Nelson plus others.</t>
  </si>
  <si>
    <t>2017 was 11% for Pension, in 2018 it is 12% plus Disability, Basic Group Life and Retiree Support.</t>
  </si>
  <si>
    <t>% of Year</t>
  </si>
  <si>
    <t>Insurance Provision</t>
  </si>
  <si>
    <t>Operating Expenses unexpectedly exceed Income (Income shortfall).  Finance Committee approves and takes recommendation to the Excutive Council.</t>
  </si>
  <si>
    <t>Unforeseen Health Care changes.  Finance Committee Approves and takes recommendation to the Executive Council.</t>
  </si>
  <si>
    <t>Supply Pastor(s)</t>
  </si>
  <si>
    <t>Total Supply Pastor(s)</t>
  </si>
  <si>
    <t>Staff Salary and Wages*</t>
  </si>
  <si>
    <t>*    Includes salary increases which will be distributed based on annual performance reviews.</t>
  </si>
  <si>
    <t>2018:  75% Deacon plus 2% and 25% Lead Pastor Salary</t>
  </si>
  <si>
    <t>Internship</t>
  </si>
  <si>
    <t>Parish/Finance Secretary</t>
  </si>
  <si>
    <t>Communications Secretary</t>
  </si>
  <si>
    <t>Finance Secretary Temp</t>
  </si>
  <si>
    <t>Pastor Transition</t>
  </si>
  <si>
    <t>Requested was $2,000 for new curriculum being order (over 2 years - last year and this year) $1,200, Carnival $200, Bibles $0, Christmas Program $350, and CLC $250.</t>
  </si>
  <si>
    <t>Purchasing books to coincide with Sunday School lessons to supplement teachings.  2018 actuals was $500.  Congregation member made donation to get library back to budget.</t>
  </si>
  <si>
    <t>Requested total of $200 for Cake and Materials $100 and Curriculum $100.</t>
  </si>
  <si>
    <t>Requested was Materials $200</t>
  </si>
  <si>
    <t>Requested $750 for materials.</t>
  </si>
  <si>
    <t>Youth Night Food &amp; Projects $7,208, Fright Fest $500, Winter Retreat $292, Winter Retreat Bus $300, Mission Trip 4 Chaperones $4,000 (combined middle/high school trip), 2 Lock-ins $500 (Food and Community service project).</t>
  </si>
  <si>
    <t>Intern</t>
  </si>
  <si>
    <t>Total Intern</t>
  </si>
  <si>
    <r>
      <t xml:space="preserve">2019:  Requested $1,000 in total for Gowns $200, Breakfast $350, Cake $50, Pictures $200, Flowers $100 and Gifts $100.  </t>
    </r>
    <r>
      <rPr>
        <b/>
        <sz val="11"/>
        <color rgb="FFFF0000"/>
        <rFont val="Calibri"/>
        <family val="2"/>
        <scheme val="minor"/>
      </rPr>
      <t xml:space="preserve">Expecting 10-12 Confirmants.  2018:  Requested was $1,400 for 13 Confirmants but actual is on 8 confirmants for 2018.  </t>
    </r>
  </si>
  <si>
    <t>Summer Bible School</t>
  </si>
  <si>
    <t>2019:  Moved RIC Ad $250 to Benevolance and removed the tree.  Requested $750 in total for for Racine Interfaith Coalition advertising of $250, Native Preserve Tree $300, August Night out (Food) $200.  Tree and Night out are new requests this year.</t>
  </si>
  <si>
    <t>2019 Assembly will be in Milwaukee.  Assumes 3 congregation members plus Pastor.   Includes session cost and mileage.</t>
  </si>
  <si>
    <t>Assumes 2 mailings.</t>
  </si>
  <si>
    <t>2019 Request (Jim Sodke):  Choir Piano (2 times) and 3 other pianos (1 time) at $75/each time.  Grand Piano (3 times) at $150 each.  Organ Tuning (1 time) at 750.   Total $1,575.  Includes rate increase and/or minor repairs.</t>
  </si>
  <si>
    <t>Pastor:  Synod increase recommendation is 2% for 2019</t>
  </si>
  <si>
    <t>Deb Toff - back up for Cheryl.  2018 also included transition costs.</t>
  </si>
  <si>
    <t>Switched to Specrum and purchased 7 new phones (needed 5 but bought 2 extra for backup).  Needed 2 office, Pastor, Intern, and Marc/Cherly office).</t>
  </si>
  <si>
    <t>2018 high due to issues with the security.</t>
  </si>
  <si>
    <t>2019:  14% increase per Jay.  
2018:  Nationwide:  Commercial Umbrella, Commercial Property, Crime and General Liability.  Annual premium confirmed by Jay W. for 2018</t>
  </si>
  <si>
    <t>Total Income excluding Clearing Account</t>
  </si>
  <si>
    <t>2018 actuals added $40/month starting in April for control of ants, Elevator is nearly $1,500.  Pest Control, Elevator check, garbage disposal, Windows Cleaned ($892 2 times a year).  Will start cleaning windows in Spring only.</t>
  </si>
  <si>
    <t>Synod</t>
  </si>
  <si>
    <t>Total Salary and Housing</t>
  </si>
  <si>
    <t>2019 Budget</t>
  </si>
  <si>
    <t>Annual Increase %</t>
  </si>
  <si>
    <t>Portion of Medical/Vision/Dental Elected to go into Salary</t>
  </si>
  <si>
    <t>SS Allowance %</t>
  </si>
  <si>
    <t>SS Tax</t>
  </si>
  <si>
    <t>Total Defined Comp.</t>
  </si>
  <si>
    <t>Health/Dental/Vision Difference</t>
  </si>
  <si>
    <t>Gross up</t>
  </si>
  <si>
    <t>Annually</t>
  </si>
  <si>
    <t>Health Premium Allowance</t>
  </si>
  <si>
    <t>To Salary</t>
  </si>
  <si>
    <t>To Pension</t>
  </si>
  <si>
    <t>Health Premium Allowance:</t>
  </si>
  <si>
    <t>Pension at 11%</t>
  </si>
  <si>
    <t>Health Premium Allow added to Pension</t>
  </si>
  <si>
    <t>Total Pension</t>
  </si>
  <si>
    <t>Budgeted</t>
  </si>
  <si>
    <t>Defined Comp.</t>
  </si>
  <si>
    <t>2019 Budget:  Exclude Pastor Salary for FICA/MED as this is included in her section.</t>
  </si>
  <si>
    <t>2019:  Requested $750 in total for Curriculum $500 (on-line cirriculum is $500 annually), and Materials $250.  They are looking at options with other Churches.  Increase is to support the 5 week summer program.
2018:  No Vacation Bible School in 2018.</t>
  </si>
  <si>
    <t>No requested budget was received.</t>
  </si>
  <si>
    <t>Move to separate staffing area.</t>
  </si>
  <si>
    <t>Trending higher than budget in 2018</t>
  </si>
  <si>
    <t>Per Compensation Package, the premium to cover Pastor and her daughter under her husbands insurance (grossed up by 25%).  Documentation is needed each year.   Per Pastor:  2019:  Include $2,600 in Salary and rest in Pension  2018:  Include in Pension.</t>
  </si>
  <si>
    <t>Other Insurance:</t>
  </si>
  <si>
    <t xml:space="preserve">    Total Pension as % of Defined Comp.</t>
  </si>
  <si>
    <t>Total Other Insurance</t>
  </si>
  <si>
    <t>Total Other Insurance %</t>
  </si>
  <si>
    <t>SubTotal</t>
  </si>
  <si>
    <t>Health Premium Allow (Pension Portion only) @7.65%</t>
  </si>
  <si>
    <t>Contract</t>
  </si>
  <si>
    <t>Health Care Premium Allow. (Portion expected to be included in Salary if not included in Defined Comp.)</t>
  </si>
  <si>
    <t>Pastor 2019</t>
  </si>
  <si>
    <t>Travel Allow</t>
  </si>
  <si>
    <t>Continuing Ed</t>
  </si>
  <si>
    <t>Grand Total - Pastor</t>
  </si>
  <si>
    <t>Total Business Expenses</t>
  </si>
  <si>
    <t>Cell Phone Reimbursement</t>
  </si>
  <si>
    <t>In 2018 the FICA taxes were included with other staff.</t>
  </si>
  <si>
    <t>Comparable Figure (year over year)</t>
  </si>
  <si>
    <t>Per Compensation Package.  This excludes the $500 that is included for Sysnod Assembly (budgeted under Misc Programs).</t>
  </si>
  <si>
    <t>Includes Base Salary, Housing, FICA (Church Share only), and Portion of Premium Allowance</t>
  </si>
  <si>
    <t>Additional Out of pocket differences</t>
  </si>
  <si>
    <t xml:space="preserve">    Sub-total</t>
  </si>
  <si>
    <t xml:space="preserve">Total:  </t>
  </si>
  <si>
    <t>2018:  Nursery heating, Roof drains, kitchen sidewalk, Requested $8,000 for general wear/tear and $12,000 for parking lot (included in Facilities Fund Reserve).
2018:  Actuals include nursery radiator at $2,000 (not budgeted).</t>
  </si>
  <si>
    <t>True Emergency issues.  Approved by Executive Council only (Communicate with Finance Committee afterwards)</t>
  </si>
  <si>
    <t>2019:  Includes $12,000 for Parking Lot.  Large Building and grounds needs for facility up-keep.  Finance Committee Approves and takes recommedation to the Council BEFORE Spending can occur.</t>
  </si>
  <si>
    <t>Fees to Seminary</t>
  </si>
  <si>
    <t>$500 Cluster Meeting, $500 Travel Pool, and $1,000 Admin. Fee</t>
  </si>
  <si>
    <t>This is the church's portion of SS.  It is not included in calculation line "Church - FICA/MED"</t>
  </si>
  <si>
    <t>Prorated the Sept YTD $2,538/9*12 = $3,384</t>
  </si>
  <si>
    <t>Start Jan. 16, 2018</t>
  </si>
  <si>
    <t>$40/Month.</t>
  </si>
  <si>
    <t>Dori's cell phone - 2 year contract beginning 11/7/18</t>
  </si>
  <si>
    <t>Jay will communication to Church &amp; Society that the RIC adv $ will be part of Benevolance and tree is not funded.</t>
  </si>
  <si>
    <t>2019:  Heather new computer  Kim/Cheryl new computer 11/2016 and Janice got a new printer also.</t>
  </si>
  <si>
    <t>Marc Henkel:  2018 is over spent.   2017 is over spent.  New Coffee Maker at $105 was part. They need to stay at budget.  Youth night and funeral, etc for plates/cups/napkins</t>
  </si>
  <si>
    <t>Cell Phone $40/Month</t>
  </si>
  <si>
    <t>Includes Pastor, Dori, Custodians, Heather for 2019 add Cheryl in 2020</t>
  </si>
  <si>
    <t>Cheryl</t>
  </si>
  <si>
    <t>Non Salary/Benefets/Tax costs</t>
  </si>
  <si>
    <t>2019:  Estimate per Jay;  $600 Vanco, $996 Johnson Bank (Per month:  $20 Online Banking, $40 Remote Deposit, $15 ACH Module and $8/transaction over 250 Transactions…Estimated $83/Month) and $85 for Safty Deposit Box….Round up to $1,700</t>
  </si>
  <si>
    <t>Current 2019 Budget</t>
  </si>
  <si>
    <t>New Proposal 2019 Budget</t>
  </si>
  <si>
    <t>Director of Contemporary Worship</t>
  </si>
  <si>
    <t>Sound payments</t>
  </si>
  <si>
    <t>From Worship Supplies</t>
  </si>
  <si>
    <t>Total Sound Budget</t>
  </si>
  <si>
    <t>$ Remaining</t>
  </si>
  <si>
    <t>Projectionist:</t>
  </si>
  <si>
    <t>Total Performance Events</t>
  </si>
  <si>
    <t xml:space="preserve">     Revelation Band Perform for Advent</t>
  </si>
  <si>
    <t xml:space="preserve">     Revelation Band Perform for Lent</t>
  </si>
  <si>
    <t>Additional Performance Events:</t>
  </si>
  <si>
    <t>2019 Calendar of Sundays/Special Days</t>
  </si>
  <si>
    <t xml:space="preserve"> </t>
  </si>
  <si>
    <t>Total Sundays</t>
  </si>
  <si>
    <t>May</t>
  </si>
  <si>
    <t>June</t>
  </si>
  <si>
    <t>July</t>
  </si>
  <si>
    <t>Sept</t>
  </si>
  <si>
    <t>Jan</t>
  </si>
  <si>
    <t>Feb</t>
  </si>
  <si>
    <t>Mar</t>
  </si>
  <si>
    <t>Apr</t>
  </si>
  <si>
    <t>Aug</t>
  </si>
  <si>
    <t>Oct</t>
  </si>
  <si>
    <t>Nov</t>
  </si>
  <si>
    <t>Dec</t>
  </si>
  <si>
    <t>Advent (Wednesdays)</t>
  </si>
  <si>
    <t>Lent (Wednesdays)</t>
  </si>
  <si>
    <t>Christmas is on Tuesday</t>
  </si>
  <si>
    <t>Memorial Day (May 27) - Labor Day (Sept 2)</t>
  </si>
  <si>
    <t>Summer Weeks</t>
  </si>
  <si>
    <t>Don't Play for Advent</t>
  </si>
  <si>
    <t>Play All Lent Wednesdays</t>
  </si>
  <si>
    <t>Total Practice Pay</t>
  </si>
  <si>
    <t xml:space="preserve">    Pay per Practice per Person</t>
  </si>
  <si>
    <t xml:space="preserve">    Pay per Preformance per Person</t>
  </si>
  <si>
    <t>Per Person</t>
  </si>
  <si>
    <t>Total Performance Pay</t>
  </si>
  <si>
    <t>Dollars</t>
  </si>
  <si>
    <t>REVELATION BAND ESTIMATE:</t>
  </si>
  <si>
    <t>SOUND SUPPORT:</t>
  </si>
  <si>
    <t>Number of Events</t>
  </si>
  <si>
    <t>Total Events</t>
  </si>
  <si>
    <t>Total Number of Sunday Events</t>
  </si>
  <si>
    <t>One day per week</t>
  </si>
  <si>
    <t xml:space="preserve">     # of Performances per Sunday</t>
  </si>
  <si>
    <t xml:space="preserve">     Number of Performance Sundays</t>
  </si>
  <si>
    <t>Total Practice Times</t>
  </si>
  <si>
    <t>Total Revelation Band Budget</t>
  </si>
  <si>
    <t xml:space="preserve">     Advent</t>
  </si>
  <si>
    <t xml:space="preserve">     Lent</t>
  </si>
  <si>
    <t xml:space="preserve">     Average Number of Funerals</t>
  </si>
  <si>
    <t>Total Events (including Sundays)</t>
  </si>
  <si>
    <t xml:space="preserve">    Number of Band Members per event</t>
  </si>
  <si>
    <t xml:space="preserve">     Pay per Sound Person per event</t>
  </si>
  <si>
    <t xml:space="preserve">     Number of Sound People per event</t>
  </si>
  <si>
    <t>Per Pers.</t>
  </si>
  <si>
    <t xml:space="preserve">     Number of Summer/Sub People per event</t>
  </si>
  <si>
    <t>Average</t>
  </si>
  <si>
    <t xml:space="preserve">     Pay per Summer/Sub per event</t>
  </si>
  <si>
    <t>Total Summer/Sub Budget</t>
  </si>
  <si>
    <t>2019 Budget Worksheet</t>
  </si>
  <si>
    <t>Excludes Summer Outside Services</t>
  </si>
  <si>
    <t xml:space="preserve">     Number of Projectionist People per event</t>
  </si>
  <si>
    <t>In 2018 we budgeted for 7 members</t>
  </si>
  <si>
    <t>Less than 2018 due to only 6 members</t>
  </si>
  <si>
    <t>Total Summer/Sub Band</t>
  </si>
  <si>
    <t>Revelation Band, Summer/Sub Band and Equip. Set up, Sound Support, and Projectionist</t>
  </si>
  <si>
    <t xml:space="preserve">     Pay per Equipment set up</t>
  </si>
  <si>
    <t xml:space="preserve">     Number of Summer Equip. set up people</t>
  </si>
  <si>
    <t>Total Summer Equipment set up</t>
  </si>
  <si>
    <t>Total Summer/Sub Band and Equip. set up</t>
  </si>
  <si>
    <t>L. Jacobson (this includes the previous $900 2017/18 Budget for Yout Choir Assistant)</t>
  </si>
  <si>
    <t>L. Jacobson (moved in 2018/19 budget to the Director of Contemporary Worship line)</t>
  </si>
  <si>
    <t>Total Sundays (excluding Summer Weeks)</t>
  </si>
  <si>
    <t>This is for preparing the music and does not include practice or performance of music.  It includes the funding for the Youth Choir Assistant ($900)  but does not include performance or practices</t>
  </si>
  <si>
    <t>In 2017/18 budget was $1,000 under worship supplies</t>
  </si>
  <si>
    <t>Average per year</t>
  </si>
  <si>
    <t>Sound Support</t>
  </si>
  <si>
    <t>2018:  Was included in Revelation Band</t>
  </si>
  <si>
    <t>2019:  Requested $5,000 but included $1,000 for Sound Support payments which was moved to the new Sound Support line.</t>
  </si>
  <si>
    <t>2019:  Paid by $50 per person and includes Equipment set up of $25 per person.  2018:  25% of the year substitute for Revelation Band.  Includes 2% increase.</t>
  </si>
  <si>
    <t>SUMMER/SUB BAND AND EQUIP. SET UP:</t>
  </si>
  <si>
    <t>Pool $</t>
  </si>
  <si>
    <t>Staff</t>
  </si>
  <si>
    <t>Music</t>
  </si>
  <si>
    <t>Summer/Sub Bands and Equip. Set up</t>
  </si>
  <si>
    <t>Nov YTD Actual</t>
  </si>
  <si>
    <t>Nov YTD Budget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</si>
</sst>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_(* #,##0_);_(* \(#,##0\);_(* &quot;-&quot;??_);_(@_)"/>
    <numFmt numFmtId="168" formatCode="0_);\(0\)"/>
    <numFmt numFmtId="169" formatCode="#,##0.0_);\(#,##0.0\)"/>
    <numFmt numFmtId="170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Garamond"/>
      <family val="1"/>
    </font>
    <font>
      <b/>
      <u val="singleAccounting"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0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left" vertical="center"/>
    </xf>
    <xf numFmtId="9" fontId="7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7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8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43" fontId="0" fillId="0" borderId="0" xfId="3" applyFont="1" applyAlignment="1">
      <alignment vertical="center"/>
    </xf>
    <xf numFmtId="164" fontId="13" fillId="8" borderId="0" xfId="1" applyNumberFormat="1" applyFont="1" applyFill="1" applyAlignment="1">
      <alignment vertical="center"/>
    </xf>
    <xf numFmtId="164" fontId="7" fillId="0" borderId="0" xfId="1" applyNumberFormat="1" applyFont="1" applyAlignment="1">
      <alignment horizontal="center" vertical="center" wrapText="1"/>
    </xf>
    <xf numFmtId="164" fontId="13" fillId="3" borderId="0" xfId="1" applyNumberFormat="1" applyFont="1" applyFill="1" applyAlignment="1">
      <alignment vertical="center"/>
    </xf>
    <xf numFmtId="164" fontId="13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64" fontId="13" fillId="0" borderId="3" xfId="1" applyNumberFormat="1" applyFont="1" applyBorder="1" applyAlignment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15" fillId="3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164" fontId="12" fillId="0" borderId="0" xfId="1" applyNumberFormat="1" applyFont="1" applyAlignment="1">
      <alignment horizontal="left" vertical="center" wrapText="1"/>
    </xf>
    <xf numFmtId="164" fontId="8" fillId="0" borderId="0" xfId="1" applyNumberFormat="1" applyFont="1" applyAlignment="1">
      <alignment horizontal="left" vertical="center" wrapText="1"/>
    </xf>
    <xf numFmtId="164" fontId="11" fillId="0" borderId="0" xfId="1" applyNumberFormat="1" applyFont="1" applyAlignment="1">
      <alignment horizontal="left" vertical="center" wrapText="1"/>
    </xf>
    <xf numFmtId="164" fontId="7" fillId="0" borderId="0" xfId="1" applyNumberFormat="1" applyFont="1" applyFill="1" applyAlignment="1">
      <alignment horizontal="left" vertical="center" wrapText="1"/>
    </xf>
    <xf numFmtId="0" fontId="16" fillId="0" borderId="0" xfId="0" applyFont="1" applyAlignment="1">
      <alignment horizontal="left"/>
    </xf>
    <xf numFmtId="164" fontId="7" fillId="10" borderId="0" xfId="1" applyNumberFormat="1" applyFont="1" applyFill="1" applyAlignment="1">
      <alignment horizontal="left" vertical="center" wrapText="1"/>
    </xf>
    <xf numFmtId="164" fontId="7" fillId="0" borderId="0" xfId="1" quotePrefix="1" applyNumberFormat="1" applyFont="1" applyAlignment="1">
      <alignment horizontal="left" vertical="center" wrapText="1"/>
    </xf>
    <xf numFmtId="164" fontId="7" fillId="0" borderId="0" xfId="1" quotePrefix="1" applyNumberFormat="1" applyFont="1" applyFill="1" applyAlignment="1">
      <alignment horizontal="left" vertical="center" wrapText="1"/>
    </xf>
    <xf numFmtId="164" fontId="12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44" fontId="7" fillId="0" borderId="0" xfId="1" quotePrefix="1" applyNumberFormat="1" applyFont="1" applyFill="1" applyAlignment="1">
      <alignment horizontal="left" vertical="center" wrapText="1"/>
    </xf>
    <xf numFmtId="164" fontId="1" fillId="0" borderId="0" xfId="1" applyNumberFormat="1" applyFont="1" applyAlignment="1">
      <alignment horizontal="left" vertical="center" wrapText="1"/>
    </xf>
    <xf numFmtId="164" fontId="7" fillId="9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 wrapText="1"/>
    </xf>
    <xf numFmtId="164" fontId="12" fillId="0" borderId="0" xfId="1" applyNumberFormat="1" applyFont="1" applyFill="1" applyAlignment="1">
      <alignment horizontal="left" vertical="center" wrapText="1"/>
    </xf>
    <xf numFmtId="164" fontId="8" fillId="0" borderId="0" xfId="1" applyNumberFormat="1" applyFont="1" applyFill="1" applyAlignment="1">
      <alignment horizontal="left" vertical="center" wrapText="1"/>
    </xf>
    <xf numFmtId="164" fontId="11" fillId="0" borderId="0" xfId="1" applyNumberFormat="1" applyFont="1" applyFill="1" applyAlignment="1">
      <alignment horizontal="left" vertical="center" wrapText="1"/>
    </xf>
    <xf numFmtId="4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quotePrefix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165" fontId="13" fillId="9" borderId="0" xfId="2" applyNumberFormat="1" applyFont="1" applyFill="1" applyAlignment="1">
      <alignment horizontal="center" vertical="center" wrapText="1"/>
    </xf>
    <xf numFmtId="164" fontId="2" fillId="4" borderId="0" xfId="1" applyNumberFormat="1" applyFont="1" applyFill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0" fillId="7" borderId="0" xfId="1" applyNumberFormat="1" applyFont="1" applyFill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Fill="1" applyAlignment="1">
      <alignment horizontal="center" vertical="center"/>
    </xf>
    <xf numFmtId="168" fontId="2" fillId="4" borderId="13" xfId="1" applyNumberFormat="1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4" borderId="15" xfId="1" applyNumberFormat="1" applyFont="1" applyFill="1" applyBorder="1" applyAlignment="1">
      <alignment horizontal="center" vertical="center"/>
    </xf>
    <xf numFmtId="164" fontId="2" fillId="4" borderId="16" xfId="1" applyNumberFormat="1" applyFont="1" applyFill="1" applyBorder="1" applyAlignment="1">
      <alignment horizontal="center" vertical="center"/>
    </xf>
    <xf numFmtId="44" fontId="12" fillId="0" borderId="0" xfId="1" quotePrefix="1" applyNumberFormat="1" applyFont="1" applyFill="1" applyAlignment="1">
      <alignment horizontal="left" vertical="center" wrapText="1"/>
    </xf>
    <xf numFmtId="164" fontId="0" fillId="2" borderId="0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vertical="center"/>
    </xf>
    <xf numFmtId="164" fontId="0" fillId="2" borderId="18" xfId="1" applyNumberFormat="1" applyFont="1" applyFill="1" applyBorder="1" applyAlignment="1">
      <alignment vertical="center"/>
    </xf>
    <xf numFmtId="164" fontId="0" fillId="2" borderId="18" xfId="1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vertical="center"/>
    </xf>
    <xf numFmtId="164" fontId="8" fillId="2" borderId="18" xfId="1" applyNumberFormat="1" applyFont="1" applyFill="1" applyBorder="1" applyAlignment="1">
      <alignment vertical="center"/>
    </xf>
    <xf numFmtId="165" fontId="2" fillId="2" borderId="18" xfId="2" applyNumberFormat="1" applyFont="1" applyFill="1" applyBorder="1" applyAlignment="1">
      <alignment horizontal="center" vertical="center"/>
    </xf>
    <xf numFmtId="165" fontId="2" fillId="2" borderId="19" xfId="2" applyNumberFormat="1" applyFont="1" applyFill="1" applyBorder="1" applyAlignment="1">
      <alignment horizontal="center" vertical="center"/>
    </xf>
    <xf numFmtId="164" fontId="2" fillId="2" borderId="23" xfId="1" applyNumberFormat="1" applyFont="1" applyFill="1" applyBorder="1" applyAlignment="1">
      <alignment vertical="center"/>
    </xf>
    <xf numFmtId="165" fontId="2" fillId="2" borderId="24" xfId="2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horizontal="center" vertical="center"/>
    </xf>
    <xf numFmtId="44" fontId="0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vertical="center"/>
    </xf>
    <xf numFmtId="164" fontId="8" fillId="2" borderId="21" xfId="1" applyNumberFormat="1" applyFont="1" applyFill="1" applyBorder="1" applyAlignment="1">
      <alignment vertical="center"/>
    </xf>
    <xf numFmtId="165" fontId="2" fillId="2" borderId="21" xfId="2" applyNumberFormat="1" applyFont="1" applyFill="1" applyBorder="1" applyAlignment="1">
      <alignment horizontal="center" vertical="center"/>
    </xf>
    <xf numFmtId="165" fontId="2" fillId="2" borderId="22" xfId="2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/>
    </xf>
    <xf numFmtId="170" fontId="7" fillId="0" borderId="0" xfId="2" applyNumberFormat="1" applyFont="1" applyAlignment="1">
      <alignment vertical="center"/>
    </xf>
    <xf numFmtId="10" fontId="7" fillId="0" borderId="0" xfId="2" applyNumberFormat="1" applyFont="1" applyAlignment="1">
      <alignment vertical="center"/>
    </xf>
    <xf numFmtId="5" fontId="15" fillId="0" borderId="0" xfId="1" applyNumberFormat="1" applyFont="1" applyFill="1" applyBorder="1" applyAlignment="1">
      <alignment horizontal="right" vertical="center"/>
    </xf>
    <xf numFmtId="5" fontId="7" fillId="0" borderId="0" xfId="1" applyNumberFormat="1" applyFont="1" applyFill="1" applyBorder="1" applyAlignment="1">
      <alignment horizontal="right" vertical="center"/>
    </xf>
    <xf numFmtId="9" fontId="15" fillId="0" borderId="0" xfId="2" applyFont="1" applyFill="1" applyBorder="1" applyAlignment="1">
      <alignment horizontal="center" vertical="center"/>
    </xf>
    <xf numFmtId="5" fontId="7" fillId="0" borderId="0" xfId="1" applyNumberFormat="1" applyFont="1" applyFill="1" applyBorder="1" applyAlignment="1">
      <alignment horizontal="center" vertical="center"/>
    </xf>
    <xf numFmtId="5" fontId="7" fillId="0" borderId="21" xfId="1" applyNumberFormat="1" applyFont="1" applyFill="1" applyBorder="1" applyAlignment="1">
      <alignment horizontal="right" vertical="center"/>
    </xf>
    <xf numFmtId="5" fontId="15" fillId="0" borderId="21" xfId="1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>
      <alignment vertical="center"/>
    </xf>
    <xf numFmtId="10" fontId="15" fillId="0" borderId="26" xfId="2" applyNumberFormat="1" applyFont="1" applyFill="1" applyBorder="1" applyAlignment="1">
      <alignment vertical="center"/>
    </xf>
    <xf numFmtId="5" fontId="15" fillId="0" borderId="26" xfId="1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>
      <alignment horizontal="center" vertical="center"/>
    </xf>
    <xf numFmtId="10" fontId="15" fillId="0" borderId="26" xfId="2" applyNumberFormat="1" applyFont="1" applyFill="1" applyBorder="1" applyAlignment="1">
      <alignment horizontal="center" vertical="center"/>
    </xf>
    <xf numFmtId="5" fontId="7" fillId="0" borderId="26" xfId="1" applyNumberFormat="1" applyFont="1" applyFill="1" applyBorder="1" applyAlignment="1">
      <alignment horizontal="right" vertical="center"/>
    </xf>
    <xf numFmtId="5" fontId="15" fillId="11" borderId="26" xfId="1" applyNumberFormat="1" applyFont="1" applyFill="1" applyBorder="1" applyAlignment="1">
      <alignment horizontal="right" vertical="center"/>
    </xf>
    <xf numFmtId="10" fontId="15" fillId="11" borderId="26" xfId="2" applyNumberFormat="1" applyFont="1" applyFill="1" applyBorder="1" applyAlignment="1">
      <alignment horizontal="center" vertical="center"/>
    </xf>
    <xf numFmtId="5" fontId="7" fillId="11" borderId="26" xfId="1" applyNumberFormat="1" applyFont="1" applyFill="1" applyBorder="1" applyAlignment="1">
      <alignment horizontal="right" vertical="center"/>
    </xf>
    <xf numFmtId="10" fontId="15" fillId="11" borderId="29" xfId="2" applyNumberFormat="1" applyFont="1" applyFill="1" applyBorder="1" applyAlignment="1">
      <alignment vertical="center"/>
    </xf>
    <xf numFmtId="10" fontId="15" fillId="11" borderId="29" xfId="2" applyNumberFormat="1" applyFont="1" applyFill="1" applyBorder="1" applyAlignment="1">
      <alignment horizontal="center" vertical="center"/>
    </xf>
    <xf numFmtId="5" fontId="7" fillId="11" borderId="29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11" borderId="28" xfId="0" applyFill="1" applyBorder="1" applyAlignment="1">
      <alignment vertical="center"/>
    </xf>
    <xf numFmtId="5" fontId="0" fillId="11" borderId="29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5" fontId="15" fillId="11" borderId="30" xfId="0" applyNumberFormat="1" applyFont="1" applyFill="1" applyBorder="1" applyAlignment="1">
      <alignment vertical="center"/>
    </xf>
    <xf numFmtId="5" fontId="0" fillId="11" borderId="29" xfId="0" applyNumberFormat="1" applyFill="1" applyBorder="1" applyAlignment="1">
      <alignment horizontal="right" vertical="center"/>
    </xf>
    <xf numFmtId="5" fontId="0" fillId="0" borderId="0" xfId="0" applyNumberFormat="1" applyAlignment="1">
      <alignment vertical="center"/>
    </xf>
    <xf numFmtId="0" fontId="0" fillId="11" borderId="26" xfId="0" applyFill="1" applyBorder="1" applyAlignment="1">
      <alignment vertical="center"/>
    </xf>
    <xf numFmtId="9" fontId="15" fillId="11" borderId="29" xfId="0" applyNumberFormat="1" applyFont="1" applyFill="1" applyBorder="1" applyAlignment="1">
      <alignment vertical="center"/>
    </xf>
    <xf numFmtId="5" fontId="2" fillId="11" borderId="29" xfId="0" applyNumberFormat="1" applyFont="1" applyFill="1" applyBorder="1" applyAlignment="1">
      <alignment horizontal="right" vertical="center"/>
    </xf>
    <xf numFmtId="0" fontId="0" fillId="11" borderId="9" xfId="0" applyFill="1" applyBorder="1" applyAlignment="1">
      <alignment vertical="center"/>
    </xf>
    <xf numFmtId="5" fontId="2" fillId="11" borderId="8" xfId="0" applyNumberFormat="1" applyFont="1" applyFill="1" applyBorder="1" applyAlignment="1">
      <alignment vertical="center"/>
    </xf>
    <xf numFmtId="5" fontId="2" fillId="11" borderId="10" xfId="0" applyNumberFormat="1" applyFont="1" applyFill="1" applyBorder="1" applyAlignment="1">
      <alignment vertical="center"/>
    </xf>
    <xf numFmtId="5" fontId="2" fillId="11" borderId="31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5" fontId="0" fillId="0" borderId="0" xfId="0" applyNumberFormat="1" applyBorder="1" applyAlignment="1">
      <alignment vertical="center"/>
    </xf>
    <xf numFmtId="5" fontId="0" fillId="0" borderId="26" xfId="0" applyNumberFormat="1" applyBorder="1" applyAlignment="1">
      <alignment vertical="center"/>
    </xf>
    <xf numFmtId="5" fontId="0" fillId="0" borderId="0" xfId="0" applyNumberFormat="1" applyFill="1" applyBorder="1" applyAlignment="1">
      <alignment vertical="center"/>
    </xf>
    <xf numFmtId="5" fontId="15" fillId="0" borderId="0" xfId="0" applyNumberFormat="1" applyFont="1" applyBorder="1" applyAlignment="1">
      <alignment vertical="center"/>
    </xf>
    <xf numFmtId="5" fontId="15" fillId="0" borderId="2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5" fontId="2" fillId="0" borderId="8" xfId="0" applyNumberFormat="1" applyFont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8" fillId="0" borderId="9" xfId="0" applyFont="1" applyBorder="1" applyAlignment="1">
      <alignment vertical="center"/>
    </xf>
    <xf numFmtId="5" fontId="8" fillId="0" borderId="8" xfId="0" applyNumberFormat="1" applyFont="1" applyBorder="1" applyAlignment="1">
      <alignment vertical="center"/>
    </xf>
    <xf numFmtId="5" fontId="8" fillId="0" borderId="10" xfId="0" applyNumberFormat="1" applyFont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5" fontId="2" fillId="11" borderId="2" xfId="0" applyNumberFormat="1" applyFont="1" applyFill="1" applyBorder="1" applyAlignment="1">
      <alignment vertical="center"/>
    </xf>
    <xf numFmtId="5" fontId="2" fillId="11" borderId="3" xfId="0" applyNumberFormat="1" applyFont="1" applyFill="1" applyBorder="1" applyAlignment="1">
      <alignment vertical="center"/>
    </xf>
    <xf numFmtId="5" fontId="2" fillId="11" borderId="7" xfId="0" applyNumberFormat="1" applyFont="1" applyFill="1" applyBorder="1" applyAlignment="1">
      <alignment vertical="center"/>
    </xf>
    <xf numFmtId="9" fontId="15" fillId="11" borderId="5" xfId="0" applyNumberFormat="1" applyFont="1" applyFill="1" applyBorder="1" applyAlignment="1">
      <alignment vertical="center"/>
    </xf>
    <xf numFmtId="5" fontId="0" fillId="11" borderId="26" xfId="0" applyNumberFormat="1" applyFill="1" applyBorder="1" applyAlignment="1">
      <alignment vertical="center"/>
    </xf>
    <xf numFmtId="5" fontId="15" fillId="11" borderId="26" xfId="0" applyNumberFormat="1" applyFont="1" applyFill="1" applyBorder="1" applyAlignment="1">
      <alignment vertical="center"/>
    </xf>
    <xf numFmtId="5" fontId="2" fillId="11" borderId="26" xfId="0" applyNumberFormat="1" applyFont="1" applyFill="1" applyBorder="1" applyAlignment="1">
      <alignment vertical="center"/>
    </xf>
    <xf numFmtId="165" fontId="0" fillId="11" borderId="10" xfId="2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25" xfId="0" applyFill="1" applyBorder="1" applyAlignment="1">
      <alignment horizontal="left" vertical="center"/>
    </xf>
    <xf numFmtId="5" fontId="15" fillId="0" borderId="25" xfId="1" applyNumberFormat="1" applyFont="1" applyFill="1" applyBorder="1" applyAlignment="1">
      <alignment horizontal="right" vertical="center"/>
    </xf>
    <xf numFmtId="5" fontId="0" fillId="0" borderId="29" xfId="0" applyNumberFormat="1" applyFill="1" applyBorder="1" applyAlignment="1">
      <alignment vertical="center"/>
    </xf>
    <xf numFmtId="9" fontId="15" fillId="0" borderId="25" xfId="2" applyFont="1" applyFill="1" applyBorder="1" applyAlignment="1">
      <alignment horizontal="center" vertical="center"/>
    </xf>
    <xf numFmtId="5" fontId="7" fillId="0" borderId="26" xfId="1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5" fontId="7" fillId="0" borderId="27" xfId="1" applyNumberFormat="1" applyFont="1" applyFill="1" applyBorder="1" applyAlignment="1">
      <alignment horizontal="right" vertical="center"/>
    </xf>
    <xf numFmtId="5" fontId="15" fillId="0" borderId="30" xfId="0" applyNumberFormat="1" applyFont="1" applyFill="1" applyBorder="1" applyAlignment="1">
      <alignment vertical="center"/>
    </xf>
    <xf numFmtId="5" fontId="0" fillId="0" borderId="25" xfId="0" applyNumberFormat="1" applyFill="1" applyBorder="1" applyAlignment="1">
      <alignment horizontal="right" vertical="center"/>
    </xf>
    <xf numFmtId="5" fontId="0" fillId="0" borderId="0" xfId="0" applyNumberFormat="1" applyFill="1" applyBorder="1" applyAlignment="1">
      <alignment horizontal="right" vertical="center"/>
    </xf>
    <xf numFmtId="5" fontId="0" fillId="0" borderId="26" xfId="0" applyNumberFormat="1" applyFill="1" applyBorder="1" applyAlignment="1">
      <alignment horizontal="right" vertical="center"/>
    </xf>
    <xf numFmtId="5" fontId="0" fillId="0" borderId="29" xfId="0" applyNumberForma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10" fontId="15" fillId="0" borderId="29" xfId="2" applyNumberFormat="1" applyFont="1" applyFill="1" applyBorder="1" applyAlignment="1">
      <alignment vertical="center"/>
    </xf>
    <xf numFmtId="9" fontId="15" fillId="0" borderId="0" xfId="0" applyNumberFormat="1" applyFont="1" applyFill="1" applyBorder="1" applyAlignment="1">
      <alignment vertical="center"/>
    </xf>
    <xf numFmtId="9" fontId="15" fillId="0" borderId="26" xfId="0" applyNumberFormat="1" applyFont="1" applyFill="1" applyBorder="1" applyAlignment="1">
      <alignment vertical="center"/>
    </xf>
    <xf numFmtId="9" fontId="15" fillId="0" borderId="29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horizontal="right" vertical="center"/>
    </xf>
    <xf numFmtId="5" fontId="2" fillId="0" borderId="26" xfId="0" applyNumberFormat="1" applyFont="1" applyFill="1" applyBorder="1" applyAlignment="1">
      <alignment horizontal="right" vertical="center"/>
    </xf>
    <xf numFmtId="5" fontId="13" fillId="0" borderId="29" xfId="0" applyNumberFormat="1" applyFont="1" applyFill="1" applyBorder="1" applyAlignment="1">
      <alignment horizontal="right" vertical="center"/>
    </xf>
    <xf numFmtId="5" fontId="7" fillId="0" borderId="29" xfId="1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 wrapText="1"/>
    </xf>
    <xf numFmtId="10" fontId="15" fillId="0" borderId="29" xfId="2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" fontId="2" fillId="0" borderId="8" xfId="0" applyNumberFormat="1" applyFont="1" applyFill="1" applyBorder="1" applyAlignment="1">
      <alignment vertical="center"/>
    </xf>
    <xf numFmtId="5" fontId="2" fillId="0" borderId="10" xfId="0" applyNumberFormat="1" applyFont="1" applyFill="1" applyBorder="1" applyAlignment="1">
      <alignment vertical="center"/>
    </xf>
    <xf numFmtId="5" fontId="2" fillId="0" borderId="3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5" fontId="8" fillId="0" borderId="0" xfId="1" applyNumberFormat="1" applyFont="1" applyFill="1" applyBorder="1" applyAlignment="1">
      <alignment horizontal="right" vertical="center"/>
    </xf>
    <xf numFmtId="5" fontId="11" fillId="0" borderId="0" xfId="1" applyNumberFormat="1" applyFont="1" applyFill="1" applyBorder="1" applyAlignment="1">
      <alignment horizontal="right" vertical="center"/>
    </xf>
    <xf numFmtId="5" fontId="8" fillId="0" borderId="26" xfId="1" applyNumberFormat="1" applyFont="1" applyFill="1" applyBorder="1" applyAlignment="1">
      <alignment horizontal="right" vertical="center"/>
    </xf>
    <xf numFmtId="5" fontId="0" fillId="0" borderId="8" xfId="0" applyNumberFormat="1" applyFill="1" applyBorder="1" applyAlignment="1">
      <alignment vertical="center"/>
    </xf>
    <xf numFmtId="5" fontId="0" fillId="0" borderId="10" xfId="0" applyNumberFormat="1" applyFill="1" applyBorder="1" applyAlignment="1">
      <alignment vertical="center"/>
    </xf>
    <xf numFmtId="9" fontId="15" fillId="0" borderId="6" xfId="0" applyNumberFormat="1" applyFont="1" applyFill="1" applyBorder="1" applyAlignment="1">
      <alignment vertical="center"/>
    </xf>
    <xf numFmtId="9" fontId="15" fillId="0" borderId="5" xfId="0" applyNumberFormat="1" applyFont="1" applyFill="1" applyBorder="1" applyAlignment="1">
      <alignment vertical="center"/>
    </xf>
    <xf numFmtId="5" fontId="0" fillId="0" borderId="26" xfId="0" applyNumberFormat="1" applyFill="1" applyBorder="1" applyAlignment="1">
      <alignment vertical="center"/>
    </xf>
    <xf numFmtId="5" fontId="11" fillId="0" borderId="0" xfId="0" applyNumberFormat="1" applyFont="1" applyFill="1" applyBorder="1" applyAlignment="1">
      <alignment vertical="center"/>
    </xf>
    <xf numFmtId="5" fontId="15" fillId="0" borderId="26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2" fillId="0" borderId="26" xfId="0" applyNumberFormat="1" applyFont="1" applyFill="1" applyBorder="1" applyAlignment="1">
      <alignment vertical="center"/>
    </xf>
    <xf numFmtId="5" fontId="8" fillId="0" borderId="26" xfId="0" applyNumberFormat="1" applyFont="1" applyFill="1" applyBorder="1" applyAlignment="1">
      <alignment vertical="center"/>
    </xf>
    <xf numFmtId="165" fontId="0" fillId="0" borderId="8" xfId="2" applyNumberFormat="1" applyFont="1" applyFill="1" applyBorder="1" applyAlignment="1">
      <alignment vertical="center"/>
    </xf>
    <xf numFmtId="165" fontId="0" fillId="0" borderId="10" xfId="2" applyNumberFormat="1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165" fontId="15" fillId="0" borderId="26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26" xfId="0" applyNumberFormat="1" applyFont="1" applyFill="1" applyBorder="1" applyAlignment="1">
      <alignment vertical="center"/>
    </xf>
    <xf numFmtId="0" fontId="0" fillId="0" borderId="25" xfId="0" applyFill="1" applyBorder="1" applyAlignment="1">
      <alignment vertical="center" wrapText="1"/>
    </xf>
    <xf numFmtId="5" fontId="15" fillId="0" borderId="0" xfId="0" applyNumberFormat="1" applyFont="1" applyFill="1" applyBorder="1" applyAlignment="1">
      <alignment vertical="center"/>
    </xf>
    <xf numFmtId="0" fontId="2" fillId="11" borderId="28" xfId="0" applyFont="1" applyFill="1" applyBorder="1" applyAlignment="1">
      <alignment horizontal="center" vertical="center"/>
    </xf>
    <xf numFmtId="0" fontId="0" fillId="11" borderId="5" xfId="0" applyFill="1" applyBorder="1" applyAlignment="1">
      <alignment vertical="center"/>
    </xf>
    <xf numFmtId="5" fontId="8" fillId="11" borderId="26" xfId="1" applyNumberFormat="1" applyFont="1" applyFill="1" applyBorder="1" applyAlignment="1">
      <alignment horizontal="right" vertical="center"/>
    </xf>
    <xf numFmtId="5" fontId="0" fillId="11" borderId="10" xfId="0" applyNumberFormat="1" applyFill="1" applyBorder="1" applyAlignment="1">
      <alignment vertical="center"/>
    </xf>
    <xf numFmtId="165" fontId="15" fillId="11" borderId="26" xfId="0" applyNumberFormat="1" applyFont="1" applyFill="1" applyBorder="1" applyAlignment="1">
      <alignment vertical="center"/>
    </xf>
    <xf numFmtId="165" fontId="7" fillId="11" borderId="26" xfId="0" applyNumberFormat="1" applyFont="1" applyFill="1" applyBorder="1" applyAlignment="1">
      <alignment vertical="center"/>
    </xf>
    <xf numFmtId="0" fontId="15" fillId="11" borderId="28" xfId="0" applyFont="1" applyFill="1" applyBorder="1" applyAlignment="1">
      <alignment vertical="center"/>
    </xf>
    <xf numFmtId="5" fontId="15" fillId="11" borderId="29" xfId="0" applyNumberFormat="1" applyFont="1" applyFill="1" applyBorder="1" applyAlignment="1">
      <alignment vertical="center"/>
    </xf>
    <xf numFmtId="5" fontId="8" fillId="11" borderId="31" xfId="0" applyNumberFormat="1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0" fillId="11" borderId="8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15" fillId="7" borderId="29" xfId="0" applyNumberFormat="1" applyFont="1" applyFill="1" applyBorder="1" applyAlignment="1">
      <alignment vertical="center"/>
    </xf>
    <xf numFmtId="5" fontId="15" fillId="7" borderId="26" xfId="0" applyNumberFormat="1" applyFont="1" applyFill="1" applyBorder="1" applyAlignment="1">
      <alignment vertical="center"/>
    </xf>
    <xf numFmtId="164" fontId="15" fillId="0" borderId="32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5" fontId="0" fillId="0" borderId="32" xfId="2" applyNumberFormat="1" applyFont="1" applyBorder="1" applyAlignment="1">
      <alignment horizontal="center" vertical="center"/>
    </xf>
    <xf numFmtId="164" fontId="0" fillId="0" borderId="32" xfId="1" applyNumberFormat="1" applyFont="1" applyBorder="1" applyAlignment="1">
      <alignment vertical="center"/>
    </xf>
    <xf numFmtId="164" fontId="7" fillId="0" borderId="32" xfId="1" applyNumberFormat="1" applyFont="1" applyFill="1" applyBorder="1" applyAlignment="1">
      <alignment horizontal="left" vertical="center" wrapText="1"/>
    </xf>
    <xf numFmtId="164" fontId="15" fillId="0" borderId="33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165" fontId="0" fillId="0" borderId="33" xfId="2" applyNumberFormat="1" applyFont="1" applyBorder="1" applyAlignment="1">
      <alignment horizontal="center" vertical="center"/>
    </xf>
    <xf numFmtId="164" fontId="0" fillId="0" borderId="33" xfId="1" applyNumberFormat="1" applyFont="1" applyBorder="1" applyAlignment="1">
      <alignment vertical="center"/>
    </xf>
    <xf numFmtId="164" fontId="7" fillId="0" borderId="33" xfId="1" applyNumberFormat="1" applyFont="1" applyFill="1" applyBorder="1" applyAlignment="1">
      <alignment horizontal="left" vertical="center" wrapText="1"/>
    </xf>
    <xf numFmtId="164" fontId="15" fillId="0" borderId="34" xfId="1" applyNumberFormat="1" applyFont="1" applyBorder="1" applyAlignment="1">
      <alignment vertical="center"/>
    </xf>
    <xf numFmtId="164" fontId="7" fillId="0" borderId="34" xfId="1" applyNumberFormat="1" applyFont="1" applyBorder="1" applyAlignment="1">
      <alignment vertical="center"/>
    </xf>
    <xf numFmtId="165" fontId="0" fillId="0" borderId="34" xfId="2" applyNumberFormat="1" applyFont="1" applyBorder="1" applyAlignment="1">
      <alignment horizontal="center" vertical="center"/>
    </xf>
    <xf numFmtId="164" fontId="0" fillId="0" borderId="34" xfId="1" applyNumberFormat="1" applyFont="1" applyBorder="1" applyAlignment="1">
      <alignment vertical="center"/>
    </xf>
    <xf numFmtId="164" fontId="7" fillId="0" borderId="34" xfId="1" applyNumberFormat="1" applyFont="1" applyFill="1" applyBorder="1" applyAlignment="1">
      <alignment horizontal="left" vertical="center" wrapText="1"/>
    </xf>
    <xf numFmtId="164" fontId="0" fillId="0" borderId="32" xfId="1" applyNumberFormat="1" applyFont="1" applyFill="1" applyBorder="1" applyAlignment="1">
      <alignment vertical="center"/>
    </xf>
    <xf numFmtId="164" fontId="0" fillId="0" borderId="32" xfId="1" applyNumberFormat="1" applyFont="1" applyFill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164" fontId="0" fillId="0" borderId="33" xfId="1" applyNumberFormat="1" applyFont="1" applyFill="1" applyBorder="1" applyAlignment="1">
      <alignment vertical="center"/>
    </xf>
    <xf numFmtId="164" fontId="0" fillId="0" borderId="33" xfId="1" applyNumberFormat="1" applyFont="1" applyFill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164" fontId="0" fillId="0" borderId="34" xfId="1" applyNumberFormat="1" applyFont="1" applyFill="1" applyBorder="1" applyAlignment="1">
      <alignment vertical="center"/>
    </xf>
    <xf numFmtId="164" fontId="0" fillId="0" borderId="34" xfId="1" applyNumberFormat="1" applyFont="1" applyFill="1" applyBorder="1" applyAlignment="1">
      <alignment horizontal="center" vertical="center"/>
    </xf>
    <xf numFmtId="164" fontId="0" fillId="0" borderId="34" xfId="1" applyNumberFormat="1" applyFont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left" vertical="center" wrapText="1"/>
    </xf>
    <xf numFmtId="164" fontId="12" fillId="0" borderId="34" xfId="1" applyNumberFormat="1" applyFont="1" applyFill="1" applyBorder="1" applyAlignment="1">
      <alignment horizontal="left" vertical="center" wrapText="1"/>
    </xf>
    <xf numFmtId="164" fontId="15" fillId="0" borderId="33" xfId="1" applyNumberFormat="1" applyFont="1" applyFill="1" applyBorder="1" applyAlignment="1">
      <alignment vertical="center"/>
    </xf>
    <xf numFmtId="164" fontId="15" fillId="0" borderId="34" xfId="1" applyNumberFormat="1" applyFont="1" applyFill="1" applyBorder="1" applyAlignment="1">
      <alignment vertical="center"/>
    </xf>
    <xf numFmtId="164" fontId="15" fillId="0" borderId="32" xfId="1" applyNumberFormat="1" applyFont="1" applyFill="1" applyBorder="1" applyAlignment="1">
      <alignment vertical="center"/>
    </xf>
    <xf numFmtId="5" fontId="15" fillId="0" borderId="32" xfId="1" applyNumberFormat="1" applyFont="1" applyFill="1" applyBorder="1" applyAlignment="1">
      <alignment horizontal="center" vertical="center"/>
    </xf>
    <xf numFmtId="9" fontId="15" fillId="0" borderId="32" xfId="2" applyFont="1" applyFill="1" applyBorder="1" applyAlignment="1">
      <alignment horizontal="center" vertical="center"/>
    </xf>
    <xf numFmtId="5" fontId="7" fillId="0" borderId="32" xfId="1" applyNumberFormat="1" applyFont="1" applyFill="1" applyBorder="1" applyAlignment="1">
      <alignment horizontal="center" vertical="center"/>
    </xf>
    <xf numFmtId="164" fontId="0" fillId="0" borderId="32" xfId="1" applyNumberFormat="1" applyFont="1" applyFill="1" applyBorder="1" applyAlignment="1">
      <alignment horizontal="center" vertical="center" wrapText="1"/>
    </xf>
    <xf numFmtId="10" fontId="15" fillId="0" borderId="32" xfId="2" applyNumberFormat="1" applyFont="1" applyFill="1" applyBorder="1" applyAlignment="1">
      <alignment vertical="center"/>
    </xf>
    <xf numFmtId="164" fontId="7" fillId="0" borderId="32" xfId="1" applyNumberFormat="1" applyFont="1" applyFill="1" applyBorder="1" applyAlignment="1">
      <alignment vertical="center"/>
    </xf>
    <xf numFmtId="164" fontId="2" fillId="0" borderId="33" xfId="1" applyNumberFormat="1" applyFont="1" applyFill="1" applyBorder="1" applyAlignment="1">
      <alignment horizontal="right" vertical="center" wrapText="1"/>
    </xf>
    <xf numFmtId="164" fontId="2" fillId="0" borderId="33" xfId="1" applyNumberFormat="1" applyFont="1" applyFill="1" applyBorder="1" applyAlignment="1">
      <alignment vertical="center" wrapText="1"/>
    </xf>
    <xf numFmtId="164" fontId="0" fillId="0" borderId="33" xfId="1" applyNumberFormat="1" applyFont="1" applyFill="1" applyBorder="1" applyAlignment="1">
      <alignment horizontal="left" vertical="center"/>
    </xf>
    <xf numFmtId="5" fontId="15" fillId="0" borderId="33" xfId="1" applyNumberFormat="1" applyFont="1" applyFill="1" applyBorder="1" applyAlignment="1">
      <alignment horizontal="center" vertical="center"/>
    </xf>
    <xf numFmtId="5" fontId="7" fillId="0" borderId="33" xfId="1" applyNumberFormat="1" applyFont="1" applyFill="1" applyBorder="1" applyAlignment="1">
      <alignment horizontal="center" vertical="center"/>
    </xf>
    <xf numFmtId="9" fontId="0" fillId="0" borderId="33" xfId="2" applyFont="1" applyFill="1" applyBorder="1" applyAlignment="1">
      <alignment horizontal="center" vertical="center"/>
    </xf>
    <xf numFmtId="164" fontId="14" fillId="0" borderId="33" xfId="1" applyNumberFormat="1" applyFont="1" applyFill="1" applyBorder="1" applyAlignment="1">
      <alignment vertical="center"/>
    </xf>
    <xf numFmtId="164" fontId="7" fillId="0" borderId="33" xfId="1" applyNumberFormat="1" applyFont="1" applyFill="1" applyBorder="1" applyAlignment="1">
      <alignment vertical="center"/>
    </xf>
    <xf numFmtId="164" fontId="0" fillId="0" borderId="33" xfId="1" applyNumberFormat="1" applyFont="1" applyFill="1" applyBorder="1" applyAlignment="1">
      <alignment vertical="center" wrapText="1"/>
    </xf>
    <xf numFmtId="164" fontId="2" fillId="0" borderId="33" xfId="1" applyNumberFormat="1" applyFont="1" applyFill="1" applyBorder="1" applyAlignment="1">
      <alignment horizontal="right" vertical="top" wrapText="1"/>
    </xf>
    <xf numFmtId="164" fontId="2" fillId="0" borderId="33" xfId="1" applyNumberFormat="1" applyFont="1" applyFill="1" applyBorder="1" applyAlignment="1">
      <alignment vertical="top" wrapText="1"/>
    </xf>
    <xf numFmtId="164" fontId="15" fillId="0" borderId="33" xfId="1" applyNumberFormat="1" applyFont="1" applyFill="1" applyBorder="1" applyAlignment="1">
      <alignment horizontal="center" vertical="center"/>
    </xf>
    <xf numFmtId="9" fontId="15" fillId="0" borderId="33" xfId="2" applyFont="1" applyFill="1" applyBorder="1" applyAlignment="1">
      <alignment horizontal="center" vertical="center"/>
    </xf>
    <xf numFmtId="10" fontId="15" fillId="0" borderId="33" xfId="2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vertical="center"/>
    </xf>
    <xf numFmtId="165" fontId="15" fillId="0" borderId="33" xfId="2" applyNumberFormat="1" applyFont="1" applyFill="1" applyBorder="1" applyAlignment="1">
      <alignment horizontal="center" vertical="center"/>
    </xf>
    <xf numFmtId="165" fontId="7" fillId="0" borderId="33" xfId="2" applyNumberFormat="1" applyFont="1" applyFill="1" applyBorder="1" applyAlignment="1">
      <alignment vertical="center"/>
    </xf>
    <xf numFmtId="164" fontId="7" fillId="0" borderId="33" xfId="1" quotePrefix="1" applyNumberFormat="1" applyFont="1" applyFill="1" applyBorder="1" applyAlignment="1">
      <alignment horizontal="left" vertical="center" wrapText="1"/>
    </xf>
    <xf numFmtId="168" fontId="0" fillId="0" borderId="33" xfId="1" applyNumberFormat="1" applyFont="1" applyFill="1" applyBorder="1" applyAlignment="1">
      <alignment horizontal="center" vertical="center"/>
    </xf>
    <xf numFmtId="164" fontId="1" fillId="0" borderId="33" xfId="1" applyNumberFormat="1" applyFont="1" applyBorder="1" applyAlignment="1">
      <alignment vertical="center"/>
    </xf>
    <xf numFmtId="164" fontId="14" fillId="0" borderId="34" xfId="1" applyNumberFormat="1" applyFont="1" applyBorder="1" applyAlignment="1">
      <alignment vertical="center"/>
    </xf>
    <xf numFmtId="164" fontId="7" fillId="0" borderId="34" xfId="1" applyNumberFormat="1" applyFont="1" applyFill="1" applyBorder="1" applyAlignment="1">
      <alignment vertical="center"/>
    </xf>
    <xf numFmtId="164" fontId="7" fillId="0" borderId="32" xfId="1" applyNumberFormat="1" applyFont="1" applyBorder="1" applyAlignment="1">
      <alignment horizontal="center" vertical="center"/>
    </xf>
    <xf numFmtId="164" fontId="14" fillId="0" borderId="32" xfId="1" applyNumberFormat="1" applyFont="1" applyBorder="1" applyAlignment="1">
      <alignment horizontal="center" vertical="center"/>
    </xf>
    <xf numFmtId="164" fontId="14" fillId="0" borderId="33" xfId="1" applyNumberFormat="1" applyFont="1" applyBorder="1" applyAlignment="1">
      <alignment horizontal="center" vertical="center"/>
    </xf>
    <xf numFmtId="43" fontId="0" fillId="0" borderId="32" xfId="3" applyFont="1" applyBorder="1" applyAlignment="1">
      <alignment horizontal="center" vertical="center"/>
    </xf>
    <xf numFmtId="37" fontId="15" fillId="0" borderId="34" xfId="1" applyNumberFormat="1" applyFont="1" applyFill="1" applyBorder="1" applyAlignment="1">
      <alignment horizontal="center" vertical="center"/>
    </xf>
    <xf numFmtId="7" fontId="7" fillId="0" borderId="34" xfId="1" applyNumberFormat="1" applyFont="1" applyBorder="1" applyAlignment="1">
      <alignment horizontal="center" vertical="center"/>
    </xf>
    <xf numFmtId="165" fontId="15" fillId="0" borderId="34" xfId="2" applyNumberFormat="1" applyFont="1" applyBorder="1" applyAlignment="1">
      <alignment horizontal="center" vertical="center"/>
    </xf>
    <xf numFmtId="7" fontId="15" fillId="0" borderId="34" xfId="1" applyNumberFormat="1" applyFont="1" applyBorder="1" applyAlignment="1">
      <alignment horizontal="center" vertical="center"/>
    </xf>
    <xf numFmtId="44" fontId="15" fillId="0" borderId="34" xfId="1" applyNumberFormat="1" applyFont="1" applyBorder="1" applyAlignment="1">
      <alignment horizontal="center" vertical="center"/>
    </xf>
    <xf numFmtId="164" fontId="12" fillId="0" borderId="32" xfId="1" applyNumberFormat="1" applyFont="1" applyFill="1" applyBorder="1" applyAlignment="1">
      <alignment horizontal="left" vertical="center" wrapText="1"/>
    </xf>
    <xf numFmtId="164" fontId="15" fillId="0" borderId="42" xfId="1" applyNumberFormat="1" applyFont="1" applyFill="1" applyBorder="1" applyAlignment="1">
      <alignment vertical="center"/>
    </xf>
    <xf numFmtId="164" fontId="15" fillId="0" borderId="33" xfId="1" applyNumberFormat="1" applyFont="1" applyFill="1" applyBorder="1" applyAlignment="1">
      <alignment vertical="center" wrapText="1"/>
    </xf>
    <xf numFmtId="164" fontId="15" fillId="0" borderId="43" xfId="1" applyNumberFormat="1" applyFont="1" applyFill="1" applyBorder="1" applyAlignment="1">
      <alignment vertical="center"/>
    </xf>
    <xf numFmtId="9" fontId="15" fillId="0" borderId="33" xfId="2" applyFont="1" applyBorder="1" applyAlignment="1">
      <alignment horizontal="center" vertical="center"/>
    </xf>
    <xf numFmtId="164" fontId="1" fillId="0" borderId="34" xfId="1" applyNumberFormat="1" applyFont="1" applyFill="1" applyBorder="1" applyAlignment="1">
      <alignment horizontal="left" vertical="center" wrapText="1"/>
    </xf>
    <xf numFmtId="164" fontId="14" fillId="0" borderId="32" xfId="1" applyNumberFormat="1" applyFont="1" applyBorder="1" applyAlignment="1">
      <alignment vertical="center"/>
    </xf>
    <xf numFmtId="164" fontId="14" fillId="0" borderId="33" xfId="1" applyNumberFormat="1" applyFont="1" applyBorder="1" applyAlignment="1">
      <alignment vertical="center"/>
    </xf>
    <xf numFmtId="44" fontId="7" fillId="0" borderId="33" xfId="1" applyNumberFormat="1" applyFont="1" applyFill="1" applyBorder="1" applyAlignment="1">
      <alignment horizontal="left" vertical="center" wrapText="1"/>
    </xf>
    <xf numFmtId="168" fontId="2" fillId="4" borderId="46" xfId="1" applyNumberFormat="1" applyFont="1" applyFill="1" applyBorder="1" applyAlignment="1">
      <alignment horizontal="center" vertical="center"/>
    </xf>
    <xf numFmtId="37" fontId="15" fillId="0" borderId="32" xfId="1" applyNumberFormat="1" applyFont="1" applyFill="1" applyBorder="1" applyAlignment="1">
      <alignment horizontal="center" vertical="center"/>
    </xf>
    <xf numFmtId="165" fontId="7" fillId="0" borderId="32" xfId="2" applyNumberFormat="1" applyFont="1" applyBorder="1" applyAlignment="1">
      <alignment horizontal="center" vertical="center"/>
    </xf>
    <xf numFmtId="7" fontId="15" fillId="0" borderId="32" xfId="1" applyNumberFormat="1" applyFont="1" applyBorder="1" applyAlignment="1">
      <alignment horizontal="center" vertical="center"/>
    </xf>
    <xf numFmtId="44" fontId="15" fillId="0" borderId="32" xfId="1" applyNumberFormat="1" applyFont="1" applyBorder="1" applyAlignment="1">
      <alignment horizontal="center" vertical="center"/>
    </xf>
    <xf numFmtId="37" fontId="15" fillId="0" borderId="33" xfId="1" applyNumberFormat="1" applyFont="1" applyFill="1" applyBorder="1" applyAlignment="1">
      <alignment horizontal="center" vertical="center"/>
    </xf>
    <xf numFmtId="7" fontId="15" fillId="0" borderId="33" xfId="1" applyNumberFormat="1" applyFont="1" applyBorder="1" applyAlignment="1">
      <alignment horizontal="center" vertical="center"/>
    </xf>
    <xf numFmtId="165" fontId="7" fillId="0" borderId="33" xfId="2" applyNumberFormat="1" applyFont="1" applyBorder="1" applyAlignment="1">
      <alignment horizontal="center" vertical="center"/>
    </xf>
    <xf numFmtId="44" fontId="15" fillId="0" borderId="33" xfId="1" applyNumberFormat="1" applyFont="1" applyBorder="1" applyAlignment="1">
      <alignment horizontal="center" vertical="center"/>
    </xf>
    <xf numFmtId="7" fontId="7" fillId="0" borderId="33" xfId="1" applyNumberFormat="1" applyFont="1" applyBorder="1" applyAlignment="1">
      <alignment horizontal="center" vertical="center"/>
    </xf>
    <xf numFmtId="165" fontId="15" fillId="0" borderId="33" xfId="2" applyNumberFormat="1" applyFont="1" applyBorder="1" applyAlignment="1">
      <alignment horizontal="center" vertical="center"/>
    </xf>
    <xf numFmtId="169" fontId="15" fillId="0" borderId="33" xfId="1" applyNumberFormat="1" applyFont="1" applyFill="1" applyBorder="1" applyAlignment="1">
      <alignment horizontal="center" vertical="center"/>
    </xf>
    <xf numFmtId="164" fontId="0" fillId="0" borderId="33" xfId="1" quotePrefix="1" applyNumberFormat="1" applyFont="1" applyBorder="1" applyAlignment="1">
      <alignment horizontal="center" vertical="center"/>
    </xf>
    <xf numFmtId="13" fontId="0" fillId="0" borderId="33" xfId="1" applyNumberFormat="1" applyFont="1" applyBorder="1" applyAlignment="1">
      <alignment vertical="center"/>
    </xf>
    <xf numFmtId="164" fontId="7" fillId="10" borderId="33" xfId="1" applyNumberFormat="1" applyFont="1" applyFill="1" applyBorder="1" applyAlignment="1">
      <alignment vertical="center"/>
    </xf>
    <xf numFmtId="167" fontId="7" fillId="0" borderId="33" xfId="3" applyNumberFormat="1" applyFont="1" applyBorder="1" applyAlignment="1">
      <alignment horizontal="center" vertical="center"/>
    </xf>
    <xf numFmtId="43" fontId="7" fillId="0" borderId="33" xfId="3" applyNumberFormat="1" applyFont="1" applyBorder="1" applyAlignment="1">
      <alignment horizontal="center" vertical="center"/>
    </xf>
    <xf numFmtId="167" fontId="18" fillId="0" borderId="33" xfId="3" applyNumberFormat="1" applyFont="1" applyBorder="1" applyAlignment="1">
      <alignment horizontal="center" vertical="center"/>
    </xf>
    <xf numFmtId="10" fontId="15" fillId="0" borderId="33" xfId="2" applyNumberFormat="1" applyFont="1" applyBorder="1" applyAlignment="1">
      <alignment horizontal="center" vertical="center"/>
    </xf>
    <xf numFmtId="164" fontId="7" fillId="0" borderId="32" xfId="1" applyNumberFormat="1" applyFont="1" applyBorder="1" applyAlignment="1">
      <alignment horizontal="left" vertical="center" wrapText="1"/>
    </xf>
    <xf numFmtId="164" fontId="0" fillId="0" borderId="33" xfId="1" applyNumberFormat="1" applyFont="1" applyBorder="1" applyAlignment="1">
      <alignment horizontal="center" vertical="center" wrapText="1"/>
    </xf>
    <xf numFmtId="164" fontId="0" fillId="0" borderId="33" xfId="1" applyNumberFormat="1" applyFont="1" applyBorder="1" applyAlignment="1">
      <alignment horizontal="left" vertical="center" wrapText="1"/>
    </xf>
    <xf numFmtId="164" fontId="0" fillId="0" borderId="34" xfId="1" applyNumberFormat="1" applyFont="1" applyFill="1" applyBorder="1" applyAlignment="1">
      <alignment vertical="center" wrapText="1"/>
    </xf>
    <xf numFmtId="12" fontId="7" fillId="0" borderId="32" xfId="1" applyNumberFormat="1" applyFont="1" applyBorder="1" applyAlignment="1">
      <alignment horizontal="center" vertical="center"/>
    </xf>
    <xf numFmtId="164" fontId="7" fillId="0" borderId="0" xfId="1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5" fontId="15" fillId="0" borderId="0" xfId="1" applyNumberFormat="1" applyFont="1" applyBorder="1" applyAlignment="1">
      <alignment vertical="center"/>
    </xf>
    <xf numFmtId="5" fontId="15" fillId="0" borderId="0" xfId="1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5" fontId="13" fillId="0" borderId="0" xfId="1" applyNumberFormat="1" applyFont="1" applyFill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53" xfId="0" applyBorder="1" applyAlignment="1">
      <alignment vertical="center"/>
    </xf>
    <xf numFmtId="5" fontId="15" fillId="0" borderId="8" xfId="1" applyNumberFormat="1" applyFont="1" applyBorder="1" applyAlignment="1">
      <alignment vertical="center"/>
    </xf>
    <xf numFmtId="5" fontId="15" fillId="0" borderId="0" xfId="1" applyNumberFormat="1" applyFont="1" applyBorder="1" applyAlignment="1">
      <alignment horizontal="right" vertical="center"/>
    </xf>
    <xf numFmtId="5" fontId="15" fillId="0" borderId="8" xfId="1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5" fontId="7" fillId="0" borderId="6" xfId="1" applyNumberFormat="1" applyFont="1" applyBorder="1" applyAlignment="1">
      <alignment vertical="center"/>
    </xf>
    <xf numFmtId="5" fontId="7" fillId="0" borderId="0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2" fillId="11" borderId="58" xfId="0" applyFont="1" applyFill="1" applyBorder="1" applyAlignment="1">
      <alignment vertical="center"/>
    </xf>
    <xf numFmtId="5" fontId="8" fillId="11" borderId="58" xfId="1" applyNumberFormat="1" applyFont="1" applyFill="1" applyBorder="1" applyAlignment="1">
      <alignment vertical="center"/>
    </xf>
    <xf numFmtId="0" fontId="0" fillId="11" borderId="58" xfId="0" applyFill="1" applyBorder="1" applyAlignment="1">
      <alignment vertical="center"/>
    </xf>
    <xf numFmtId="0" fontId="0" fillId="11" borderId="59" xfId="0" applyFill="1" applyBorder="1" applyAlignment="1">
      <alignment vertical="center"/>
    </xf>
    <xf numFmtId="0" fontId="2" fillId="11" borderId="60" xfId="0" applyFont="1" applyFill="1" applyBorder="1" applyAlignment="1">
      <alignment vertical="center"/>
    </xf>
    <xf numFmtId="0" fontId="0" fillId="11" borderId="61" xfId="0" applyFill="1" applyBorder="1" applyAlignment="1">
      <alignment vertical="center"/>
    </xf>
    <xf numFmtId="0" fontId="0" fillId="11" borderId="62" xfId="0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0" xfId="0" quotePrefix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7" fillId="0" borderId="64" xfId="0" applyFont="1" applyBorder="1" applyAlignment="1">
      <alignment horizontal="right" vertical="center"/>
    </xf>
    <xf numFmtId="0" fontId="0" fillId="0" borderId="64" xfId="0" applyBorder="1" applyAlignment="1">
      <alignment vertical="center"/>
    </xf>
    <xf numFmtId="0" fontId="0" fillId="0" borderId="64" xfId="0" quotePrefix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8" xfId="0" quotePrefix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0" fillId="0" borderId="51" xfId="0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11" borderId="66" xfId="0" applyFont="1" applyFill="1" applyBorder="1" applyAlignment="1">
      <alignment vertical="center"/>
    </xf>
    <xf numFmtId="5" fontId="8" fillId="11" borderId="66" xfId="1" applyNumberFormat="1" applyFont="1" applyFill="1" applyBorder="1" applyAlignment="1">
      <alignment vertical="center"/>
    </xf>
    <xf numFmtId="0" fontId="0" fillId="11" borderId="66" xfId="0" applyFill="1" applyBorder="1" applyAlignment="1">
      <alignment vertical="center"/>
    </xf>
    <xf numFmtId="0" fontId="0" fillId="11" borderId="67" xfId="0" applyFill="1" applyBorder="1" applyAlignment="1">
      <alignment vertical="center"/>
    </xf>
    <xf numFmtId="5" fontId="8" fillId="11" borderId="61" xfId="1" applyNumberFormat="1" applyFont="1" applyFill="1" applyBorder="1" applyAlignment="1">
      <alignment vertical="center"/>
    </xf>
    <xf numFmtId="5" fontId="13" fillId="11" borderId="61" xfId="1" applyNumberFormat="1" applyFont="1" applyFill="1" applyBorder="1" applyAlignment="1">
      <alignment vertical="center"/>
    </xf>
    <xf numFmtId="0" fontId="2" fillId="11" borderId="71" xfId="0" applyFont="1" applyFill="1" applyBorder="1" applyAlignment="1">
      <alignment vertical="center"/>
    </xf>
    <xf numFmtId="0" fontId="0" fillId="11" borderId="64" xfId="0" applyFill="1" applyBorder="1" applyAlignment="1">
      <alignment vertical="center"/>
    </xf>
    <xf numFmtId="0" fontId="0" fillId="11" borderId="65" xfId="0" applyFill="1" applyBorder="1" applyAlignment="1">
      <alignment vertical="center"/>
    </xf>
    <xf numFmtId="0" fontId="0" fillId="0" borderId="72" xfId="0" applyBorder="1" applyAlignment="1">
      <alignment vertical="center"/>
    </xf>
    <xf numFmtId="0" fontId="2" fillId="11" borderId="73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15" fillId="0" borderId="58" xfId="0" applyFont="1" applyFill="1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33" xfId="0" applyBorder="1" applyAlignment="1">
      <alignment vertical="center"/>
    </xf>
    <xf numFmtId="0" fontId="15" fillId="0" borderId="33" xfId="0" applyFont="1" applyFill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34" xfId="0" applyBorder="1" applyAlignment="1">
      <alignment vertical="center"/>
    </xf>
    <xf numFmtId="0" fontId="15" fillId="0" borderId="34" xfId="0" applyFont="1" applyFill="1" applyBorder="1" applyAlignment="1">
      <alignment horizontal="center" vertical="center"/>
    </xf>
    <xf numFmtId="0" fontId="0" fillId="0" borderId="81" xfId="0" applyBorder="1" applyAlignment="1">
      <alignment vertical="center"/>
    </xf>
    <xf numFmtId="0" fontId="22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69" xfId="0" applyFont="1" applyFill="1" applyBorder="1" applyAlignment="1">
      <alignment vertical="center"/>
    </xf>
    <xf numFmtId="5" fontId="8" fillId="0" borderId="6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5" fillId="0" borderId="18" xfId="0" applyFont="1" applyBorder="1" applyAlignment="1">
      <alignment horizontal="right" vertical="center"/>
    </xf>
    <xf numFmtId="0" fontId="0" fillId="0" borderId="18" xfId="0" applyFill="1" applyBorder="1" applyAlignment="1">
      <alignment vertical="center"/>
    </xf>
    <xf numFmtId="0" fontId="0" fillId="0" borderId="83" xfId="0" applyBorder="1" applyAlignment="1">
      <alignment vertical="center"/>
    </xf>
    <xf numFmtId="0" fontId="2" fillId="0" borderId="84" xfId="0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5" fontId="8" fillId="0" borderId="85" xfId="1" applyNumberFormat="1" applyFont="1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0" fillId="0" borderId="86" xfId="0" applyFill="1" applyBorder="1" applyAlignment="1">
      <alignment vertical="center"/>
    </xf>
    <xf numFmtId="164" fontId="17" fillId="0" borderId="32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 wrapText="1"/>
    </xf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 wrapText="1"/>
    </xf>
    <xf numFmtId="1" fontId="8" fillId="7" borderId="4" xfId="1" applyNumberFormat="1" applyFont="1" applyFill="1" applyBorder="1" applyAlignment="1">
      <alignment horizontal="center" vertical="center"/>
    </xf>
    <xf numFmtId="1" fontId="8" fillId="7" borderId="6" xfId="1" applyNumberFormat="1" applyFont="1" applyFill="1" applyBorder="1" applyAlignment="1">
      <alignment horizontal="center" vertical="center"/>
    </xf>
    <xf numFmtId="1" fontId="8" fillId="7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168" fontId="2" fillId="4" borderId="11" xfId="1" applyNumberFormat="1" applyFont="1" applyFill="1" applyBorder="1" applyAlignment="1">
      <alignment horizontal="center"/>
    </xf>
    <xf numFmtId="168" fontId="2" fillId="4" borderId="12" xfId="1" applyNumberFormat="1" applyFont="1" applyFill="1" applyBorder="1" applyAlignment="1">
      <alignment horizontal="center"/>
    </xf>
    <xf numFmtId="168" fontId="2" fillId="4" borderId="35" xfId="1" applyNumberFormat="1" applyFont="1" applyFill="1" applyBorder="1" applyAlignment="1">
      <alignment horizontal="center" vertical="center"/>
    </xf>
    <xf numFmtId="168" fontId="2" fillId="4" borderId="36" xfId="1" applyNumberFormat="1" applyFont="1" applyFill="1" applyBorder="1" applyAlignment="1">
      <alignment horizontal="center" vertical="center"/>
    </xf>
    <xf numFmtId="168" fontId="2" fillId="4" borderId="37" xfId="1" applyNumberFormat="1" applyFont="1" applyFill="1" applyBorder="1" applyAlignment="1">
      <alignment horizontal="center"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33" xfId="1" applyNumberFormat="1" applyFont="1" applyBorder="1" applyAlignment="1">
      <alignment horizontal="left" vertical="center" wrapText="1"/>
    </xf>
    <xf numFmtId="168" fontId="15" fillId="0" borderId="38" xfId="1" applyNumberFormat="1" applyFont="1" applyFill="1" applyBorder="1" applyAlignment="1">
      <alignment horizontal="center" vertical="center"/>
    </xf>
    <xf numFmtId="168" fontId="15" fillId="0" borderId="39" xfId="1" applyNumberFormat="1" applyFont="1" applyFill="1" applyBorder="1" applyAlignment="1">
      <alignment horizontal="center" vertical="center"/>
    </xf>
    <xf numFmtId="168" fontId="15" fillId="0" borderId="40" xfId="1" applyNumberFormat="1" applyFont="1" applyFill="1" applyBorder="1" applyAlignment="1">
      <alignment horizontal="center" vertical="center"/>
    </xf>
    <xf numFmtId="168" fontId="2" fillId="4" borderId="44" xfId="1" applyNumberFormat="1" applyFont="1" applyFill="1" applyBorder="1" applyAlignment="1">
      <alignment horizontal="center"/>
    </xf>
    <xf numFmtId="168" fontId="2" fillId="4" borderId="45" xfId="1" applyNumberFormat="1" applyFont="1" applyFill="1" applyBorder="1" applyAlignment="1">
      <alignment horizontal="center"/>
    </xf>
    <xf numFmtId="168" fontId="2" fillId="4" borderId="42" xfId="1" applyNumberFormat="1" applyFont="1" applyFill="1" applyBorder="1" applyAlignment="1">
      <alignment horizontal="center" vertical="center"/>
    </xf>
    <xf numFmtId="168" fontId="2" fillId="4" borderId="33" xfId="1" applyNumberFormat="1" applyFont="1" applyFill="1" applyBorder="1" applyAlignment="1">
      <alignment horizontal="center" vertical="center"/>
    </xf>
    <xf numFmtId="164" fontId="0" fillId="0" borderId="33" xfId="1" applyNumberFormat="1" applyFont="1" applyFill="1" applyBorder="1" applyAlignment="1">
      <alignment horizontal="center" vertical="center" wrapText="1"/>
    </xf>
    <xf numFmtId="164" fontId="15" fillId="0" borderId="41" xfId="1" applyNumberFormat="1" applyFont="1" applyFill="1" applyBorder="1" applyAlignment="1">
      <alignment horizontal="center" vertical="center" wrapText="1"/>
    </xf>
    <xf numFmtId="164" fontId="15" fillId="0" borderId="32" xfId="1" applyNumberFormat="1" applyFont="1" applyFill="1" applyBorder="1" applyAlignment="1">
      <alignment horizontal="center" vertical="center" wrapText="1"/>
    </xf>
    <xf numFmtId="164" fontId="15" fillId="0" borderId="42" xfId="1" applyNumberFormat="1" applyFont="1" applyFill="1" applyBorder="1" applyAlignment="1">
      <alignment horizontal="center" vertical="center" wrapText="1"/>
    </xf>
    <xf numFmtId="164" fontId="15" fillId="0" borderId="33" xfId="1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textRotation="90" wrapText="1"/>
    </xf>
    <xf numFmtId="0" fontId="2" fillId="11" borderId="60" xfId="0" applyFont="1" applyFill="1" applyBorder="1" applyAlignment="1">
      <alignment horizontal="center" vertical="center"/>
    </xf>
    <xf numFmtId="0" fontId="2" fillId="11" borderId="6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 textRotation="90"/>
    </xf>
    <xf numFmtId="0" fontId="2" fillId="0" borderId="48" xfId="0" applyFont="1" applyBorder="1" applyAlignment="1">
      <alignment horizontal="center" vertical="center" textRotation="90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74" xfId="0" applyFont="1" applyBorder="1" applyAlignment="1">
      <alignment horizontal="center" vertical="center" textRotation="90"/>
    </xf>
    <xf numFmtId="0" fontId="2" fillId="0" borderId="75" xfId="0" applyFont="1" applyBorder="1" applyAlignment="1">
      <alignment horizontal="center" vertical="center" textRotation="90"/>
    </xf>
    <xf numFmtId="0" fontId="2" fillId="0" borderId="70" xfId="0" applyFont="1" applyBorder="1" applyAlignment="1">
      <alignment horizontal="center" vertical="center" textRotation="90"/>
    </xf>
    <xf numFmtId="0" fontId="2" fillId="0" borderId="82" xfId="0" applyFont="1" applyBorder="1" applyAlignment="1">
      <alignment horizontal="center" vertical="center" textRotation="90" wrapText="1"/>
    </xf>
    <xf numFmtId="0" fontId="0" fillId="11" borderId="61" xfId="0" applyFill="1" applyBorder="1" applyAlignment="1">
      <alignment horizontal="left" vertical="center" wrapText="1"/>
    </xf>
    <xf numFmtId="0" fontId="0" fillId="11" borderId="62" xfId="0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11" borderId="66" xfId="0" applyFill="1" applyBorder="1" applyAlignment="1">
      <alignment horizontal="left" vertical="center" wrapText="1"/>
    </xf>
    <xf numFmtId="0" fontId="0" fillId="11" borderId="67" xfId="0" applyFill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0000FF"/>
      <color rgb="FFFFFFCC"/>
      <color rgb="FFFFCC66"/>
      <color rgb="FFFFFF99"/>
      <color rgb="FFCCFFCC"/>
      <color rgb="FFCCCC00"/>
      <color rgb="FFF8F8F8"/>
      <color rgb="FF808000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C2"/>
  <sheetViews>
    <sheetView showGridLines="0" workbookViewId="0">
      <selection activeCell="C3" sqref="C3"/>
    </sheetView>
  </sheetViews>
  <sheetFormatPr defaultColWidth="9.08984375" defaultRowHeight="23.5"/>
  <cols>
    <col min="1" max="1" width="23.08984375" style="45" customWidth="1"/>
    <col min="2" max="16384" width="9.08984375" style="45"/>
  </cols>
  <sheetData>
    <row r="2" spans="1:3">
      <c r="A2" s="45" t="s">
        <v>187</v>
      </c>
      <c r="C2" s="46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5"/>
  <sheetViews>
    <sheetView showGridLines="0" tabSelected="1" topLeftCell="B1" workbookViewId="0">
      <selection activeCell="Q73" sqref="Q73"/>
    </sheetView>
  </sheetViews>
  <sheetFormatPr defaultColWidth="9.08984375" defaultRowHeight="14.5"/>
  <cols>
    <col min="1" max="1" width="4.453125" style="47" hidden="1" customWidth="1"/>
    <col min="2" max="2" width="4.36328125" style="4" customWidth="1"/>
    <col min="3" max="3" width="9.08984375" style="1"/>
    <col min="4" max="4" width="27.90625" style="1" customWidth="1"/>
    <col min="5" max="6" width="12.08984375" style="1" customWidth="1"/>
    <col min="7" max="7" width="12.54296875" style="1" customWidth="1"/>
    <col min="8" max="8" width="2.54296875" style="1" customWidth="1"/>
    <col min="9" max="9" width="12.54296875" style="1" bestFit="1" customWidth="1"/>
    <col min="10" max="10" width="11.6328125" style="1" customWidth="1"/>
    <col min="11" max="11" width="10" style="42" bestFit="1" customWidth="1"/>
    <col min="12" max="16384" width="9.08984375" style="1"/>
  </cols>
  <sheetData>
    <row r="1" spans="1:11" ht="41.25" customHeight="1">
      <c r="B1" s="470" t="s">
        <v>91</v>
      </c>
      <c r="C1" s="470"/>
      <c r="D1" s="470"/>
      <c r="E1" s="470"/>
      <c r="F1" s="470"/>
      <c r="G1" s="470"/>
      <c r="H1" s="470"/>
      <c r="I1" s="470"/>
      <c r="J1" s="470"/>
      <c r="K1" s="470"/>
    </row>
    <row r="2" spans="1:11" ht="8.25" customHeight="1">
      <c r="B2" s="471"/>
      <c r="C2" s="471"/>
      <c r="D2" s="471"/>
      <c r="E2" s="471"/>
      <c r="F2" s="471"/>
      <c r="G2" s="471"/>
      <c r="H2" s="471"/>
      <c r="I2" s="471"/>
      <c r="J2" s="471"/>
      <c r="K2" s="471"/>
    </row>
    <row r="3" spans="1:11" ht="18" customHeight="1">
      <c r="E3" s="475" t="s">
        <v>90</v>
      </c>
      <c r="F3" s="476"/>
      <c r="G3" s="477"/>
      <c r="I3" s="472" t="str">
        <f>+'New Year-Full Year'!T2</f>
        <v>2018 Year to Date (YTD)</v>
      </c>
      <c r="J3" s="473"/>
      <c r="K3" s="474"/>
    </row>
    <row r="4" spans="1:11" s="4" customFormat="1" ht="44.25" customHeight="1">
      <c r="A4" s="48"/>
      <c r="E4" s="50" t="str">
        <f>+'New Year-Full Year'!O3</f>
        <v>2019 Budget</v>
      </c>
      <c r="F4" s="44" t="str">
        <f>+'New Year-Full Year'!P3</f>
        <v>2018 Budget</v>
      </c>
      <c r="G4" s="51" t="str">
        <f>+'New Year-Full Year'!R4</f>
        <v>%</v>
      </c>
      <c r="I4" s="2" t="str">
        <f>+'New Year-Full Year'!T3</f>
        <v>Nov YTD Actual</v>
      </c>
      <c r="J4" s="41" t="str">
        <f>+'New Year-Full Year'!U3</f>
        <v>Nov YTD Budget</v>
      </c>
      <c r="K4" s="3" t="s">
        <v>89</v>
      </c>
    </row>
    <row r="5" spans="1:11" s="4" customFormat="1" ht="18.5">
      <c r="A5" s="48"/>
      <c r="B5" s="9" t="s">
        <v>0</v>
      </c>
      <c r="E5" s="10"/>
      <c r="F5" s="43"/>
      <c r="G5" s="43"/>
      <c r="I5" s="43"/>
      <c r="J5" s="43"/>
      <c r="K5" s="43"/>
    </row>
    <row r="6" spans="1:11">
      <c r="A6" s="47">
        <v>1</v>
      </c>
      <c r="B6" s="4" t="s">
        <v>1</v>
      </c>
    </row>
    <row r="7" spans="1:11">
      <c r="A7" s="47">
        <v>2</v>
      </c>
      <c r="C7" s="1" t="str">
        <f>+'New Year-Full Year'!C7</f>
        <v>Envelope Giving</v>
      </c>
      <c r="E7" s="40">
        <f>+'New Year-Full Year'!O7</f>
        <v>490000</v>
      </c>
      <c r="F7" s="40">
        <f>+'New Year-Full Year'!P7</f>
        <v>500000</v>
      </c>
      <c r="G7" s="6">
        <f t="shared" ref="G7:G12" si="0">IF(F7=0,"NA",(+E7-F7)/F7)</f>
        <v>-0.02</v>
      </c>
      <c r="I7" s="40">
        <f>+'New Year-Full Year'!T7</f>
        <v>448000.58</v>
      </c>
      <c r="J7" s="40">
        <f>+'New Year-Full Year'!U7</f>
        <v>461100.26</v>
      </c>
      <c r="K7" s="6">
        <f t="shared" ref="K7:K12" si="1">IF(J7=0,"NA",(+I7-J7)/J7)</f>
        <v>-2.8409613128389893E-2</v>
      </c>
    </row>
    <row r="8" spans="1:11">
      <c r="A8" s="47">
        <v>4</v>
      </c>
      <c r="C8" s="1" t="str">
        <f>+'New Year-Full Year'!C8</f>
        <v>Easter Offerings</v>
      </c>
      <c r="E8" s="40">
        <f>+'New Year-Full Year'!O8</f>
        <v>3500</v>
      </c>
      <c r="F8" s="40">
        <f>+'New Year-Full Year'!P8</f>
        <v>4000</v>
      </c>
      <c r="G8" s="6">
        <f t="shared" si="0"/>
        <v>-0.125</v>
      </c>
      <c r="I8" s="40">
        <f>+'New Year-Full Year'!T8</f>
        <v>3525</v>
      </c>
      <c r="J8" s="40">
        <f>+'New Year-Full Year'!U8</f>
        <v>4000</v>
      </c>
      <c r="K8" s="6">
        <f t="shared" si="1"/>
        <v>-0.11874999999999999</v>
      </c>
    </row>
    <row r="9" spans="1:11">
      <c r="A9" s="47">
        <v>5</v>
      </c>
      <c r="C9" s="1" t="str">
        <f>+'New Year-Full Year'!C9</f>
        <v>Thanksgiving Offerings</v>
      </c>
      <c r="E9" s="40">
        <f>+'New Year-Full Year'!O9</f>
        <v>1000</v>
      </c>
      <c r="F9" s="40">
        <f>+'New Year-Full Year'!P9</f>
        <v>1000</v>
      </c>
      <c r="G9" s="6">
        <f t="shared" si="0"/>
        <v>0</v>
      </c>
      <c r="I9" s="40">
        <f>+'New Year-Full Year'!T9</f>
        <v>254</v>
      </c>
      <c r="J9" s="40">
        <f>+'New Year-Full Year'!U9</f>
        <v>1000</v>
      </c>
      <c r="K9" s="6">
        <f t="shared" si="1"/>
        <v>-0.746</v>
      </c>
    </row>
    <row r="10" spans="1:11">
      <c r="A10" s="47">
        <v>6</v>
      </c>
      <c r="C10" s="1" t="str">
        <f>+'New Year-Full Year'!C10</f>
        <v>Christmas Offerings</v>
      </c>
      <c r="E10" s="40">
        <f>+'New Year-Full Year'!O10</f>
        <v>5000</v>
      </c>
      <c r="F10" s="40">
        <f>+'New Year-Full Year'!P10</f>
        <v>5000</v>
      </c>
      <c r="G10" s="6">
        <f t="shared" si="0"/>
        <v>0</v>
      </c>
      <c r="I10" s="40">
        <f>+'New Year-Full Year'!T10</f>
        <v>10</v>
      </c>
      <c r="J10" s="40">
        <f>+'New Year-Full Year'!U10</f>
        <v>0</v>
      </c>
      <c r="K10" s="6" t="str">
        <f t="shared" si="1"/>
        <v>NA</v>
      </c>
    </row>
    <row r="11" spans="1:11">
      <c r="A11" s="47">
        <v>7</v>
      </c>
      <c r="C11" s="1" t="str">
        <f>+'New Year-Full Year'!C11</f>
        <v>Lenten Offerings</v>
      </c>
      <c r="E11" s="40">
        <f>+'New Year-Full Year'!O11</f>
        <v>2800</v>
      </c>
      <c r="F11" s="40">
        <f>+'New Year-Full Year'!P11</f>
        <v>3000</v>
      </c>
      <c r="G11" s="6">
        <f t="shared" si="0"/>
        <v>-6.6666666666666666E-2</v>
      </c>
      <c r="I11" s="40">
        <f>+'New Year-Full Year'!T11</f>
        <v>2864</v>
      </c>
      <c r="J11" s="40">
        <f>+'New Year-Full Year'!U11</f>
        <v>3000</v>
      </c>
      <c r="K11" s="6">
        <f t="shared" si="1"/>
        <v>-4.5333333333333337E-2</v>
      </c>
    </row>
    <row r="12" spans="1:11">
      <c r="A12" s="47">
        <v>8</v>
      </c>
      <c r="B12" s="12" t="s">
        <v>6</v>
      </c>
      <c r="C12" s="12"/>
      <c r="D12" s="12"/>
      <c r="E12" s="12">
        <f>SUM(E7:E11)</f>
        <v>502300</v>
      </c>
      <c r="F12" s="12">
        <f>SUM(F7:F11)</f>
        <v>513000</v>
      </c>
      <c r="G12" s="13">
        <f t="shared" si="0"/>
        <v>-2.0857699805068228E-2</v>
      </c>
      <c r="I12" s="12">
        <f>SUM(I7:I11)</f>
        <v>454653.58</v>
      </c>
      <c r="J12" s="12">
        <f>SUM(J7:J11)</f>
        <v>469100.26</v>
      </c>
      <c r="K12" s="13">
        <f t="shared" si="1"/>
        <v>-3.0796572144300226E-2</v>
      </c>
    </row>
    <row r="13" spans="1:11" ht="5.25" customHeight="1">
      <c r="A13" s="47">
        <v>9</v>
      </c>
      <c r="G13" s="42"/>
    </row>
    <row r="14" spans="1:11">
      <c r="A14" s="47">
        <v>10</v>
      </c>
      <c r="B14" s="4" t="s">
        <v>7</v>
      </c>
      <c r="G14" s="42"/>
    </row>
    <row r="15" spans="1:11">
      <c r="A15" s="47">
        <v>11</v>
      </c>
      <c r="C15" s="1" t="str">
        <f>+'New Year-Full Year'!C15</f>
        <v>Loose Offerings</v>
      </c>
      <c r="E15" s="40">
        <f>+'New Year-Full Year'!O15</f>
        <v>11000</v>
      </c>
      <c r="F15" s="40">
        <f>+'New Year-Full Year'!P15</f>
        <v>8500</v>
      </c>
      <c r="G15" s="6">
        <f t="shared" ref="G15:G21" si="2">IF(F15=0,"NA",(+E15-F15)/F15)</f>
        <v>0.29411764705882354</v>
      </c>
      <c r="I15" s="40">
        <f>+'New Year-Full Year'!T15</f>
        <v>8457.0400000000009</v>
      </c>
      <c r="J15" s="40">
        <f>+'New Year-Full Year'!U15</f>
        <v>6640.01</v>
      </c>
      <c r="K15" s="6">
        <f t="shared" ref="K15:K21" si="3">IF(J15=0,"NA",(+I15-J15)/J15)</f>
        <v>0.27364868426402983</v>
      </c>
    </row>
    <row r="16" spans="1:11">
      <c r="A16" s="47">
        <v>12</v>
      </c>
      <c r="C16" s="1" t="str">
        <f>+'New Year-Full Year'!C16</f>
        <v>Misc Income</v>
      </c>
      <c r="E16" s="40">
        <f>+'New Year-Full Year'!O16</f>
        <v>0</v>
      </c>
      <c r="F16" s="40">
        <f>+'New Year-Full Year'!P16</f>
        <v>0</v>
      </c>
      <c r="G16" s="6" t="str">
        <f t="shared" si="2"/>
        <v>NA</v>
      </c>
      <c r="I16" s="40">
        <f>+'New Year-Full Year'!T16</f>
        <v>4771</v>
      </c>
      <c r="J16" s="40">
        <f>+'New Year-Full Year'!U16</f>
        <v>0</v>
      </c>
      <c r="K16" s="6" t="str">
        <f t="shared" si="3"/>
        <v>NA</v>
      </c>
    </row>
    <row r="17" spans="1:11" hidden="1">
      <c r="A17" s="47">
        <v>13</v>
      </c>
      <c r="C17" s="1" t="str">
        <f>+'New Year-Full Year'!C17</f>
        <v>Special Appeal</v>
      </c>
      <c r="E17" s="40">
        <f>+'New Year-Full Year'!O17</f>
        <v>0</v>
      </c>
      <c r="F17" s="40">
        <f>+'New Year-Full Year'!P17</f>
        <v>0</v>
      </c>
      <c r="G17" s="6" t="str">
        <f t="shared" si="2"/>
        <v>NA</v>
      </c>
      <c r="I17" s="40">
        <f>+'New Year-Full Year'!T17</f>
        <v>0</v>
      </c>
      <c r="J17" s="40">
        <f>+'New Year-Full Year'!U17</f>
        <v>0</v>
      </c>
      <c r="K17" s="6" t="str">
        <f t="shared" si="3"/>
        <v>NA</v>
      </c>
    </row>
    <row r="18" spans="1:11">
      <c r="A18" s="47">
        <v>14</v>
      </c>
      <c r="C18" s="1" t="str">
        <f>+'New Year-Full Year'!C18</f>
        <v>Current Investment Income</v>
      </c>
      <c r="E18" s="40">
        <f>+'New Year-Full Year'!O18</f>
        <v>0</v>
      </c>
      <c r="F18" s="40">
        <f>+'New Year-Full Year'!P18</f>
        <v>0</v>
      </c>
      <c r="G18" s="6" t="str">
        <f t="shared" si="2"/>
        <v>NA</v>
      </c>
      <c r="I18" s="40">
        <f>+'New Year-Full Year'!T18</f>
        <v>2.83</v>
      </c>
      <c r="J18" s="40">
        <f>+'New Year-Full Year'!U18</f>
        <v>0</v>
      </c>
      <c r="K18" s="6" t="str">
        <f t="shared" si="3"/>
        <v>NA</v>
      </c>
    </row>
    <row r="19" spans="1:11">
      <c r="A19" s="47">
        <v>15</v>
      </c>
      <c r="C19" s="1" t="str">
        <f>+'New Year-Full Year'!C19</f>
        <v>Clearing Account</v>
      </c>
      <c r="E19" s="40">
        <f>+'New Year-Full Year'!O19</f>
        <v>0</v>
      </c>
      <c r="F19" s="40">
        <f>+'New Year-Full Year'!P19</f>
        <v>0</v>
      </c>
      <c r="G19" s="6" t="str">
        <f t="shared" si="2"/>
        <v>NA</v>
      </c>
      <c r="I19" s="40">
        <f>+'New Year-Full Year'!T19</f>
        <v>0</v>
      </c>
      <c r="J19" s="40">
        <f>+'New Year-Full Year'!U19</f>
        <v>0</v>
      </c>
      <c r="K19" s="6" t="str">
        <f t="shared" si="3"/>
        <v>NA</v>
      </c>
    </row>
    <row r="20" spans="1:11">
      <c r="A20" s="47">
        <v>16</v>
      </c>
      <c r="B20" s="12" t="s">
        <v>10</v>
      </c>
      <c r="C20" s="12"/>
      <c r="D20" s="12"/>
      <c r="E20" s="12">
        <f>SUM(E15:E19)</f>
        <v>11000</v>
      </c>
      <c r="F20" s="12">
        <f>SUM(F15:F19)</f>
        <v>8500</v>
      </c>
      <c r="G20" s="13">
        <f t="shared" si="2"/>
        <v>0.29411764705882354</v>
      </c>
      <c r="I20" s="12">
        <f>SUM(I15:I19)</f>
        <v>13230.87</v>
      </c>
      <c r="J20" s="12">
        <f>SUM(J15:J19)</f>
        <v>6640.01</v>
      </c>
      <c r="K20" s="13">
        <f t="shared" si="3"/>
        <v>0.99259790271400195</v>
      </c>
    </row>
    <row r="21" spans="1:11">
      <c r="A21" s="47">
        <v>17</v>
      </c>
      <c r="B21" s="12" t="s">
        <v>12</v>
      </c>
      <c r="C21" s="12"/>
      <c r="D21" s="12"/>
      <c r="E21" s="12">
        <f>+E12+E20</f>
        <v>513300</v>
      </c>
      <c r="F21" s="12">
        <f>+F12+F20</f>
        <v>521500</v>
      </c>
      <c r="G21" s="13">
        <f t="shared" si="2"/>
        <v>-1.5723873441994246E-2</v>
      </c>
      <c r="I21" s="12">
        <f>+I12+I20</f>
        <v>467884.45</v>
      </c>
      <c r="J21" s="12">
        <f>+J12+J20</f>
        <v>475740.27</v>
      </c>
      <c r="K21" s="13">
        <f t="shared" si="3"/>
        <v>-1.6512833777977229E-2</v>
      </c>
    </row>
    <row r="22" spans="1:11" ht="6" customHeight="1">
      <c r="A22" s="47">
        <v>18</v>
      </c>
      <c r="G22" s="42"/>
    </row>
    <row r="23" spans="1:11" ht="18.5">
      <c r="A23" s="47">
        <v>19</v>
      </c>
      <c r="B23" s="9" t="s">
        <v>13</v>
      </c>
      <c r="G23" s="42"/>
    </row>
    <row r="24" spans="1:11" s="4" customFormat="1">
      <c r="A24" s="47">
        <v>26</v>
      </c>
      <c r="B24" s="14"/>
      <c r="C24" s="15" t="s">
        <v>97</v>
      </c>
      <c r="D24" s="14"/>
      <c r="E24" s="14">
        <f>+'New Year-Full Year'!O29</f>
        <v>51330</v>
      </c>
      <c r="F24" s="14">
        <f>+'New Year-Full Year'!P29</f>
        <v>52150</v>
      </c>
      <c r="G24" s="16">
        <f>IF(F24=0,"NA",(+E24-F24)/F24)</f>
        <v>-1.5723873441994246E-2</v>
      </c>
      <c r="H24" s="1"/>
      <c r="I24" s="14">
        <f>+'New Year-Full Year'!T29</f>
        <v>44416.63</v>
      </c>
      <c r="J24" s="14">
        <f>+'New Year-Full Year'!U29</f>
        <v>44920.76</v>
      </c>
      <c r="K24" s="16">
        <f>IF(J24=0,"NA",(+I24-J24)/J24)</f>
        <v>-1.1222650729863089E-2</v>
      </c>
    </row>
    <row r="25" spans="1:11" s="4" customFormat="1" ht="6.75" customHeight="1">
      <c r="A25" s="47">
        <v>27</v>
      </c>
      <c r="B25" s="17"/>
      <c r="C25" s="18"/>
      <c r="D25" s="17"/>
      <c r="E25" s="17"/>
      <c r="F25" s="19"/>
      <c r="G25" s="20"/>
      <c r="H25" s="1"/>
      <c r="I25" s="19"/>
      <c r="J25" s="19"/>
      <c r="K25" s="20"/>
    </row>
    <row r="26" spans="1:11" s="4" customFormat="1" ht="18.5">
      <c r="A26" s="47">
        <v>28</v>
      </c>
      <c r="B26" s="21" t="s">
        <v>66</v>
      </c>
      <c r="C26" s="18"/>
      <c r="D26" s="17"/>
      <c r="E26" s="17"/>
      <c r="F26" s="19"/>
      <c r="G26" s="20"/>
      <c r="H26" s="17"/>
      <c r="I26" s="19"/>
      <c r="J26" s="19"/>
      <c r="K26" s="20"/>
    </row>
    <row r="27" spans="1:11">
      <c r="A27" s="47">
        <v>29</v>
      </c>
      <c r="B27" s="4" t="s">
        <v>17</v>
      </c>
      <c r="G27" s="42"/>
    </row>
    <row r="28" spans="1:11">
      <c r="A28" s="47">
        <v>30</v>
      </c>
      <c r="C28" s="1" t="str">
        <f>+'New Year-Full Year'!C33</f>
        <v>Sunday School</v>
      </c>
      <c r="E28" s="40">
        <f>+'New Year-Full Year'!O33</f>
        <v>2000</v>
      </c>
      <c r="F28" s="40">
        <f>+'New Year-Full Year'!P33</f>
        <v>2000</v>
      </c>
      <c r="G28" s="6">
        <f t="shared" ref="G28:G35" si="4">IF(F28=0,"NA",(+E28-F28)/F28)</f>
        <v>0</v>
      </c>
      <c r="I28" s="40">
        <f>+'New Year-Full Year'!T33</f>
        <v>990.46</v>
      </c>
      <c r="J28" s="40">
        <f>+'New Year-Full Year'!U33</f>
        <v>1833.37</v>
      </c>
      <c r="K28" s="6">
        <f t="shared" ref="K28:K35" si="5">IF(J28=0,"NA",(+I28-J28)/J28)</f>
        <v>-0.45975989571117665</v>
      </c>
    </row>
    <row r="29" spans="1:11">
      <c r="A29" s="47">
        <v>31</v>
      </c>
      <c r="C29" s="1" t="str">
        <f>+'New Year-Full Year'!C34</f>
        <v>Confirmation</v>
      </c>
      <c r="E29" s="40">
        <f>+'New Year-Full Year'!O34</f>
        <v>1000</v>
      </c>
      <c r="F29" s="40">
        <f>+'New Year-Full Year'!P34</f>
        <v>1000</v>
      </c>
      <c r="G29" s="6">
        <f t="shared" si="4"/>
        <v>0</v>
      </c>
      <c r="I29" s="40">
        <f>+'New Year-Full Year'!T34</f>
        <v>548.65</v>
      </c>
      <c r="J29" s="40">
        <f>+'New Year-Full Year'!U34</f>
        <v>916.63</v>
      </c>
      <c r="K29" s="6">
        <f t="shared" si="5"/>
        <v>-0.40144878522413624</v>
      </c>
    </row>
    <row r="30" spans="1:11">
      <c r="A30" s="47">
        <v>32</v>
      </c>
      <c r="C30" s="1" t="str">
        <f>+'New Year-Full Year'!C35</f>
        <v>Summer Bible School</v>
      </c>
      <c r="E30" s="40">
        <f>+'New Year-Full Year'!O35</f>
        <v>1000</v>
      </c>
      <c r="F30" s="40">
        <f>+'New Year-Full Year'!P35</f>
        <v>500</v>
      </c>
      <c r="G30" s="6">
        <f t="shared" si="4"/>
        <v>1</v>
      </c>
      <c r="I30" s="40">
        <f>+'New Year-Full Year'!T35</f>
        <v>0</v>
      </c>
      <c r="J30" s="40">
        <f>+'New Year-Full Year'!U35</f>
        <v>500</v>
      </c>
      <c r="K30" s="6">
        <f t="shared" si="5"/>
        <v>-1</v>
      </c>
    </row>
    <row r="31" spans="1:11">
      <c r="A31" s="47">
        <v>33</v>
      </c>
      <c r="C31" s="1" t="str">
        <f>+'New Year-Full Year'!C36</f>
        <v>Library</v>
      </c>
      <c r="E31" s="40">
        <f>+'New Year-Full Year'!O36</f>
        <v>300</v>
      </c>
      <c r="F31" s="40">
        <f>+'New Year-Full Year'!P36</f>
        <v>200</v>
      </c>
      <c r="G31" s="6">
        <f t="shared" si="4"/>
        <v>0.5</v>
      </c>
      <c r="I31" s="40">
        <f>+'New Year-Full Year'!T36</f>
        <v>197.8</v>
      </c>
      <c r="J31" s="40">
        <f>+'New Year-Full Year'!U36</f>
        <v>183.37</v>
      </c>
      <c r="K31" s="6">
        <f t="shared" si="5"/>
        <v>7.869335223864321E-2</v>
      </c>
    </row>
    <row r="32" spans="1:11">
      <c r="A32" s="47">
        <v>34</v>
      </c>
      <c r="C32" s="1" t="str">
        <f>+'New Year-Full Year'!C37</f>
        <v>First Communion</v>
      </c>
      <c r="E32" s="40">
        <f>+'New Year-Full Year'!O37</f>
        <v>200</v>
      </c>
      <c r="F32" s="40">
        <f>+'New Year-Full Year'!P37</f>
        <v>200</v>
      </c>
      <c r="G32" s="6">
        <f t="shared" si="4"/>
        <v>0</v>
      </c>
      <c r="I32" s="40">
        <f>+'New Year-Full Year'!T37</f>
        <v>63.83</v>
      </c>
      <c r="J32" s="40">
        <f>+'New Year-Full Year'!U37</f>
        <v>200</v>
      </c>
      <c r="K32" s="6">
        <f t="shared" si="5"/>
        <v>-0.68085000000000007</v>
      </c>
    </row>
    <row r="33" spans="1:11">
      <c r="C33" s="1" t="str">
        <f>+'New Year-Full Year'!C38</f>
        <v>Adult Education</v>
      </c>
      <c r="E33" s="40">
        <f>+'New Year-Full Year'!O38</f>
        <v>750</v>
      </c>
      <c r="F33" s="40">
        <f>+'New Year-Full Year'!P38</f>
        <v>750</v>
      </c>
      <c r="G33" s="6">
        <f t="shared" si="4"/>
        <v>0</v>
      </c>
      <c r="I33" s="40">
        <f>+'New Year-Full Year'!T38</f>
        <v>71.900000000000006</v>
      </c>
      <c r="J33" s="40">
        <f>+'New Year-Full Year'!U38</f>
        <v>687.5</v>
      </c>
      <c r="K33" s="6">
        <f t="shared" ref="K33" si="6">IF(J33=0,"NA",(+I33-J33)/J33)</f>
        <v>-0.89541818181818189</v>
      </c>
    </row>
    <row r="34" spans="1:11">
      <c r="A34" s="47">
        <v>35</v>
      </c>
      <c r="C34" s="1" t="str">
        <f>+'New Year-Full Year'!C39</f>
        <v>Cradle Roll</v>
      </c>
      <c r="E34" s="40">
        <f>+'New Year-Full Year'!O39</f>
        <v>200</v>
      </c>
      <c r="F34" s="40">
        <f>+'New Year-Full Year'!P39</f>
        <v>200</v>
      </c>
      <c r="G34" s="6">
        <f t="shared" si="4"/>
        <v>0</v>
      </c>
      <c r="I34" s="40">
        <f>+'New Year-Full Year'!T39</f>
        <v>390.02</v>
      </c>
      <c r="J34" s="40">
        <f>+'New Year-Full Year'!U39</f>
        <v>200</v>
      </c>
      <c r="K34" s="6">
        <f t="shared" si="5"/>
        <v>0.95009999999999994</v>
      </c>
    </row>
    <row r="35" spans="1:11" s="4" customFormat="1">
      <c r="A35" s="47">
        <v>36</v>
      </c>
      <c r="B35" s="39" t="s">
        <v>21</v>
      </c>
      <c r="C35" s="39"/>
      <c r="D35" s="39"/>
      <c r="E35" s="39">
        <f>SUM(E28:E34)</f>
        <v>5450</v>
      </c>
      <c r="F35" s="39">
        <f>SUM(F28:F34)</f>
        <v>4850</v>
      </c>
      <c r="G35" s="23">
        <f t="shared" si="4"/>
        <v>0.12371134020618557</v>
      </c>
      <c r="I35" s="39">
        <f>SUM(I28:I34)</f>
        <v>2262.66</v>
      </c>
      <c r="J35" s="39">
        <f>SUM(J28:J34)</f>
        <v>4520.87</v>
      </c>
      <c r="K35" s="23">
        <f t="shared" si="5"/>
        <v>-0.49950783809311039</v>
      </c>
    </row>
    <row r="36" spans="1:11" ht="6" customHeight="1">
      <c r="A36" s="47">
        <v>37</v>
      </c>
      <c r="G36" s="42"/>
    </row>
    <row r="37" spans="1:11">
      <c r="A37" s="47">
        <v>40</v>
      </c>
      <c r="B37" s="4" t="s">
        <v>168</v>
      </c>
      <c r="G37" s="42"/>
    </row>
    <row r="38" spans="1:11">
      <c r="A38" s="47">
        <v>41</v>
      </c>
      <c r="C38" s="1" t="str">
        <f>+'New Year-Full Year'!C43</f>
        <v>Worship Supplies</v>
      </c>
      <c r="E38" s="40">
        <f>+'New Year-Full Year'!O43</f>
        <v>4000</v>
      </c>
      <c r="F38" s="40">
        <f>+'New Year-Full Year'!P43</f>
        <v>5000</v>
      </c>
      <c r="G38" s="6">
        <f>IF(F38=0,"NA",(+E38-F38)/F38)</f>
        <v>-0.2</v>
      </c>
      <c r="I38" s="40">
        <f>+'New Year-Full Year'!T43</f>
        <v>4017.16</v>
      </c>
      <c r="J38" s="40">
        <f>+'New Year-Full Year'!U43</f>
        <v>4583.37</v>
      </c>
      <c r="K38" s="6">
        <f>IF(J38=0,"NA",(+I38-J38)/J38)</f>
        <v>-0.12353573898681539</v>
      </c>
    </row>
    <row r="39" spans="1:11">
      <c r="A39" s="47">
        <v>43</v>
      </c>
      <c r="C39" s="1" t="str">
        <f>+'New Year-Full Year'!C45</f>
        <v>Children's Services</v>
      </c>
      <c r="E39" s="40">
        <f>+'New Year-Full Year'!O45</f>
        <v>100</v>
      </c>
      <c r="F39" s="40">
        <f>+'New Year-Full Year'!P45</f>
        <v>100</v>
      </c>
      <c r="G39" s="6">
        <f>IF(F39=0,"NA",(+E39-F39)/F39)</f>
        <v>0</v>
      </c>
      <c r="I39" s="40">
        <f>+'New Year-Full Year'!T45</f>
        <v>89.1</v>
      </c>
      <c r="J39" s="40">
        <f>+'New Year-Full Year'!U45</f>
        <v>91.63</v>
      </c>
      <c r="K39" s="6">
        <f>IF(J39=0,"NA",(+I39-J39)/J39)</f>
        <v>-2.7611044417767121E-2</v>
      </c>
    </row>
    <row r="40" spans="1:11">
      <c r="A40" s="47">
        <v>44</v>
      </c>
      <c r="C40" s="1" t="str">
        <f>+'New Year-Full Year'!C46</f>
        <v>Flowers</v>
      </c>
      <c r="E40" s="40">
        <f>+'New Year-Full Year'!O46</f>
        <v>200</v>
      </c>
      <c r="F40" s="40">
        <f>+'New Year-Full Year'!P46</f>
        <v>200</v>
      </c>
      <c r="G40" s="6">
        <f>IF(F40=0,"NA",(+E40-F40)/F40)</f>
        <v>0</v>
      </c>
      <c r="I40" s="40">
        <f>+'New Year-Full Year'!T46</f>
        <v>-42</v>
      </c>
      <c r="J40" s="40">
        <f>+'New Year-Full Year'!U46</f>
        <v>183.37</v>
      </c>
      <c r="K40" s="6">
        <f>IF(J40=0,"NA",(+I40-J40)/J40)</f>
        <v>-1.2290451000708948</v>
      </c>
    </row>
    <row r="41" spans="1:11" s="4" customFormat="1">
      <c r="A41" s="47">
        <v>45</v>
      </c>
      <c r="B41" s="39" t="s">
        <v>169</v>
      </c>
      <c r="C41" s="39"/>
      <c r="D41" s="39"/>
      <c r="E41" s="39">
        <f>SUM(E38:E40)</f>
        <v>4300</v>
      </c>
      <c r="F41" s="39">
        <f>SUM(F38:F40)</f>
        <v>5300</v>
      </c>
      <c r="G41" s="23">
        <f>IF(F41=0,"NA",(+E41-F41)/F41)</f>
        <v>-0.18867924528301888</v>
      </c>
      <c r="I41" s="39">
        <f>SUM(I38:I40)</f>
        <v>4064.26</v>
      </c>
      <c r="J41" s="39">
        <f>SUM(J38:J40)</f>
        <v>4858.37</v>
      </c>
      <c r="K41" s="23">
        <f>IF(J41=0,"NA",(+I41-J41)/J41)</f>
        <v>-0.16345193964230795</v>
      </c>
    </row>
    <row r="42" spans="1:11" ht="6.75" customHeight="1">
      <c r="A42" s="47">
        <v>46</v>
      </c>
      <c r="G42" s="42"/>
    </row>
    <row r="43" spans="1:11" s="4" customFormat="1">
      <c r="A43" s="47">
        <v>51</v>
      </c>
      <c r="B43" s="39" t="s">
        <v>25</v>
      </c>
      <c r="C43" s="39"/>
      <c r="D43" s="39"/>
      <c r="E43" s="39">
        <f>+'New Year-Full Year'!O49</f>
        <v>12800</v>
      </c>
      <c r="F43" s="39">
        <f>+'New Year-Full Year'!P49</f>
        <v>12800</v>
      </c>
      <c r="G43" s="23">
        <f>IF(F43=0,"NA",(+E43-F43)/F43)</f>
        <v>0</v>
      </c>
      <c r="I43" s="39">
        <f>+'New Year-Full Year'!T49</f>
        <v>7592.82</v>
      </c>
      <c r="J43" s="39">
        <f>+'New Year-Full Year'!U49</f>
        <v>12420</v>
      </c>
      <c r="K43" s="23">
        <f>IF(J43=0,"NA",(+I43-J43)/J43)</f>
        <v>-0.38866183574879232</v>
      </c>
    </row>
    <row r="44" spans="1:11" ht="6.75" customHeight="1">
      <c r="A44" s="47">
        <v>52</v>
      </c>
      <c r="G44" s="42"/>
    </row>
    <row r="45" spans="1:11">
      <c r="A45" s="47">
        <v>53</v>
      </c>
      <c r="B45" s="4" t="s">
        <v>98</v>
      </c>
      <c r="G45" s="42"/>
    </row>
    <row r="46" spans="1:11">
      <c r="A46" s="47">
        <v>54</v>
      </c>
      <c r="C46" s="1" t="str">
        <f>+'New Year-Full Year'!C52</f>
        <v>Church Membership Activities</v>
      </c>
      <c r="E46" s="40">
        <f>+'New Year-Full Year'!O52</f>
        <v>400</v>
      </c>
      <c r="F46" s="40">
        <f>+'New Year-Full Year'!P52</f>
        <v>400</v>
      </c>
      <c r="G46" s="6">
        <f>IF(F46=0,"NA",(+E46-F46)/F46)</f>
        <v>0</v>
      </c>
      <c r="I46" s="40">
        <f>+'New Year-Full Year'!T52</f>
        <v>385.82</v>
      </c>
      <c r="J46" s="40">
        <f>+'New Year-Full Year'!U52</f>
        <v>366.63</v>
      </c>
      <c r="K46" s="6">
        <f>IF(J46=0,"NA",(+I46-J46)/J46)</f>
        <v>5.2341597796143245E-2</v>
      </c>
    </row>
    <row r="47" spans="1:11">
      <c r="A47" s="47">
        <v>55</v>
      </c>
      <c r="C47" s="1" t="str">
        <f>+'New Year-Full Year'!C53</f>
        <v>Sunday Coffee</v>
      </c>
      <c r="E47" s="40">
        <f>+'New Year-Full Year'!O53</f>
        <v>150</v>
      </c>
      <c r="F47" s="40">
        <f>+'New Year-Full Year'!P53</f>
        <v>150</v>
      </c>
      <c r="G47" s="6">
        <f>IF(F47=0,"NA",(+E47-F47)/F47)</f>
        <v>0</v>
      </c>
      <c r="I47" s="40">
        <f>+'New Year-Full Year'!T53</f>
        <v>77.63</v>
      </c>
      <c r="J47" s="40">
        <f>+'New Year-Full Year'!U53</f>
        <v>137.5</v>
      </c>
      <c r="K47" s="6">
        <f>IF(J47=0,"NA",(+I47-J47)/J47)</f>
        <v>-0.43541818181818187</v>
      </c>
    </row>
    <row r="48" spans="1:11" s="4" customFormat="1">
      <c r="A48" s="47">
        <v>56</v>
      </c>
      <c r="B48" s="39" t="s">
        <v>94</v>
      </c>
      <c r="C48" s="39"/>
      <c r="D48" s="39"/>
      <c r="E48" s="39">
        <f>SUM(E46:E47)</f>
        <v>550</v>
      </c>
      <c r="F48" s="39">
        <f>SUM(F46:F47)</f>
        <v>550</v>
      </c>
      <c r="G48" s="23">
        <f>IF(F48=0,"NA",(+E48-F48)/F48)</f>
        <v>0</v>
      </c>
      <c r="I48" s="39">
        <f>SUM(I46:I47)</f>
        <v>463.45</v>
      </c>
      <c r="J48" s="39">
        <f>SUM(J46:J47)</f>
        <v>504.13</v>
      </c>
      <c r="K48" s="23">
        <f>IF(J48=0,"NA",(+I48-J48)/J48)</f>
        <v>-8.0693471921924914E-2</v>
      </c>
    </row>
    <row r="49" spans="1:11" ht="5.25" customHeight="1">
      <c r="A49" s="47">
        <v>57</v>
      </c>
      <c r="G49" s="42"/>
    </row>
    <row r="50" spans="1:11">
      <c r="A50" s="47">
        <v>58</v>
      </c>
      <c r="B50" s="39" t="s">
        <v>26</v>
      </c>
      <c r="C50" s="24"/>
      <c r="D50" s="24"/>
      <c r="E50" s="49">
        <f>+'New Year-Full Year'!O56</f>
        <v>200</v>
      </c>
      <c r="F50" s="49">
        <f>+'New Year-Full Year'!P56</f>
        <v>200</v>
      </c>
      <c r="G50" s="23">
        <f>IF(F50=0,"NA",(+E50-F50)/F50)</f>
        <v>0</v>
      </c>
      <c r="I50" s="49">
        <f>+'New Year-Full Year'!T56</f>
        <v>250</v>
      </c>
      <c r="J50" s="49">
        <f>+'New Year-Full Year'!U56</f>
        <v>200</v>
      </c>
      <c r="K50" s="23">
        <f>IF(J50=0,"NA",(+I50-J50)/J50)</f>
        <v>0.25</v>
      </c>
    </row>
    <row r="51" spans="1:11" ht="6" customHeight="1">
      <c r="A51" s="47">
        <v>59</v>
      </c>
      <c r="G51" s="42"/>
    </row>
    <row r="52" spans="1:11">
      <c r="A52" s="47">
        <v>60</v>
      </c>
      <c r="B52" s="4" t="s">
        <v>27</v>
      </c>
      <c r="G52" s="42"/>
    </row>
    <row r="53" spans="1:11">
      <c r="A53" s="47">
        <v>61</v>
      </c>
      <c r="C53" s="1" t="str">
        <f>+'New Year-Full Year'!C59</f>
        <v>Stewardship</v>
      </c>
      <c r="E53" s="40">
        <f>+'New Year-Full Year'!O59</f>
        <v>200</v>
      </c>
      <c r="F53" s="40">
        <f>+'New Year-Full Year'!P59</f>
        <v>200</v>
      </c>
      <c r="G53" s="6">
        <f t="shared" ref="G53:G60" si="7">IF(F53=0,"NA",(+E53-F53)/F53)</f>
        <v>0</v>
      </c>
      <c r="I53" s="40">
        <f>+'New Year-Full Year'!T59</f>
        <v>0</v>
      </c>
      <c r="J53" s="40">
        <f>+'New Year-Full Year'!U59</f>
        <v>200</v>
      </c>
      <c r="K53" s="6">
        <f t="shared" ref="K53:K60" si="8">IF(J53=0,"NA",(+I53-J53)/J53)</f>
        <v>-1</v>
      </c>
    </row>
    <row r="54" spans="1:11">
      <c r="A54" s="47">
        <v>62</v>
      </c>
      <c r="C54" s="1" t="str">
        <f>+'New Year-Full Year'!C60</f>
        <v>Envelopes, Giving</v>
      </c>
      <c r="E54" s="40">
        <f>+'New Year-Full Year'!O60</f>
        <v>800</v>
      </c>
      <c r="F54" s="40">
        <f>+'New Year-Full Year'!P60</f>
        <v>800</v>
      </c>
      <c r="G54" s="6">
        <f t="shared" si="7"/>
        <v>0</v>
      </c>
      <c r="I54" s="40">
        <f>+'New Year-Full Year'!T60</f>
        <v>779</v>
      </c>
      <c r="J54" s="40">
        <f>+'New Year-Full Year'!U60</f>
        <v>800</v>
      </c>
      <c r="K54" s="6">
        <f t="shared" si="8"/>
        <v>-2.6249999999999999E-2</v>
      </c>
    </row>
    <row r="55" spans="1:11">
      <c r="A55" s="47">
        <v>63</v>
      </c>
      <c r="C55" s="1" t="str">
        <f>+'New Year-Full Year'!C61</f>
        <v>Synod Assembly</v>
      </c>
      <c r="E55" s="40">
        <f>+'New Year-Full Year'!O61</f>
        <v>1000</v>
      </c>
      <c r="F55" s="40">
        <f>+'New Year-Full Year'!P61</f>
        <v>1500</v>
      </c>
      <c r="G55" s="6">
        <f t="shared" si="7"/>
        <v>-0.33333333333333331</v>
      </c>
      <c r="I55" s="40">
        <f>+'New Year-Full Year'!T61</f>
        <v>918.16</v>
      </c>
      <c r="J55" s="40">
        <f>+'New Year-Full Year'!U61</f>
        <v>1500</v>
      </c>
      <c r="K55" s="6">
        <f t="shared" si="8"/>
        <v>-0.38789333333333337</v>
      </c>
    </row>
    <row r="56" spans="1:11">
      <c r="A56" s="47">
        <v>64</v>
      </c>
      <c r="C56" s="1" t="str">
        <f>+'New Year-Full Year'!C62</f>
        <v>Evangelism</v>
      </c>
      <c r="E56" s="40">
        <f>+'New Year-Full Year'!O62</f>
        <v>3000</v>
      </c>
      <c r="F56" s="40">
        <f>+'New Year-Full Year'!P62</f>
        <v>3000</v>
      </c>
      <c r="G56" s="6">
        <f t="shared" si="7"/>
        <v>0</v>
      </c>
      <c r="I56" s="40">
        <f>+'New Year-Full Year'!T62</f>
        <v>1728.11</v>
      </c>
      <c r="J56" s="40">
        <f>+'New Year-Full Year'!U62</f>
        <v>2750</v>
      </c>
      <c r="K56" s="6">
        <f t="shared" si="8"/>
        <v>-0.37159636363636367</v>
      </c>
    </row>
    <row r="57" spans="1:11">
      <c r="C57" s="1" t="str">
        <f>+'New Year-Full Year'!C63</f>
        <v>Misc Expenses</v>
      </c>
      <c r="E57" s="40">
        <f>+'New Year-Full Year'!O63</f>
        <v>200</v>
      </c>
      <c r="F57" s="40">
        <f>+'New Year-Full Year'!P63</f>
        <v>200</v>
      </c>
      <c r="G57" s="6">
        <f t="shared" ref="G57" si="9">IF(F57=0,"NA",(+E57-F57)/F57)</f>
        <v>0</v>
      </c>
      <c r="I57" s="40">
        <f>+'New Year-Full Year'!T63</f>
        <v>50</v>
      </c>
      <c r="J57" s="40">
        <f>+'New Year-Full Year'!U63</f>
        <v>183.37</v>
      </c>
      <c r="K57" s="6">
        <f t="shared" ref="K57" si="10">IF(J57=0,"NA",(+I57-J57)/J57)</f>
        <v>-0.72732726182036322</v>
      </c>
    </row>
    <row r="58" spans="1:11">
      <c r="C58" s="1" t="str">
        <f>+'New Year-Full Year'!C64</f>
        <v>Internship</v>
      </c>
      <c r="E58" s="40">
        <f>+'New Year-Full Year'!O64</f>
        <v>0</v>
      </c>
      <c r="F58" s="40">
        <f>+'New Year-Full Year'!P64</f>
        <v>0</v>
      </c>
      <c r="G58" s="6" t="str">
        <f t="shared" ref="G58" si="11">IF(F58=0,"NA",(+E58-F58)/F58)</f>
        <v>NA</v>
      </c>
      <c r="I58" s="40">
        <f>+'New Year-Full Year'!T64</f>
        <v>221.01</v>
      </c>
      <c r="J58" s="40">
        <f>+'New Year-Full Year'!U64</f>
        <v>0</v>
      </c>
      <c r="K58" s="6" t="str">
        <f t="shared" ref="K58" si="12">IF(J58=0,"NA",(+I58-J58)/J58)</f>
        <v>NA</v>
      </c>
    </row>
    <row r="59" spans="1:11">
      <c r="A59" s="47">
        <v>65</v>
      </c>
      <c r="C59" s="1" t="str">
        <f>+'New Year-Full Year'!C65</f>
        <v>Organ/Piano Maintenance</v>
      </c>
      <c r="E59" s="40">
        <f>+'New Year-Full Year'!O65</f>
        <v>1575</v>
      </c>
      <c r="F59" s="40">
        <f>+'New Year-Full Year'!P65</f>
        <v>1000</v>
      </c>
      <c r="G59" s="6">
        <f t="shared" si="7"/>
        <v>0.57499999999999996</v>
      </c>
      <c r="I59" s="40">
        <f>+'New Year-Full Year'!T65</f>
        <v>361.62</v>
      </c>
      <c r="J59" s="40">
        <f>+'New Year-Full Year'!U65</f>
        <v>1000</v>
      </c>
      <c r="K59" s="6">
        <f t="shared" si="8"/>
        <v>-0.63837999999999995</v>
      </c>
    </row>
    <row r="60" spans="1:11" s="4" customFormat="1">
      <c r="A60" s="47">
        <v>66</v>
      </c>
      <c r="B60" s="39" t="s">
        <v>32</v>
      </c>
      <c r="C60" s="39"/>
      <c r="D60" s="39"/>
      <c r="E60" s="39">
        <f>SUM(E53:E59)</f>
        <v>6775</v>
      </c>
      <c r="F60" s="39">
        <f>SUM(F53:F59)</f>
        <v>6700</v>
      </c>
      <c r="G60" s="23">
        <f t="shared" si="7"/>
        <v>1.1194029850746268E-2</v>
      </c>
      <c r="I60" s="39">
        <f>SUM(I53:I59)</f>
        <v>4057.8999999999996</v>
      </c>
      <c r="J60" s="39">
        <f>SUM(J53:J59)</f>
        <v>6433.37</v>
      </c>
      <c r="K60" s="23">
        <f t="shared" si="8"/>
        <v>-0.36924193696305363</v>
      </c>
    </row>
    <row r="61" spans="1:11" ht="6" customHeight="1">
      <c r="A61" s="47">
        <v>67</v>
      </c>
      <c r="G61" s="42"/>
    </row>
    <row r="62" spans="1:11">
      <c r="A62" s="47">
        <v>68</v>
      </c>
      <c r="B62" s="4" t="s">
        <v>33</v>
      </c>
      <c r="G62" s="42"/>
    </row>
    <row r="63" spans="1:11">
      <c r="A63" s="47">
        <v>69</v>
      </c>
      <c r="C63" s="1" t="str">
        <f>+'New Year-Full Year'!C69</f>
        <v>Office Supplies</v>
      </c>
      <c r="E63" s="40">
        <f>+'New Year-Full Year'!O69</f>
        <v>3500</v>
      </c>
      <c r="F63" s="40">
        <f>+'New Year-Full Year'!P69</f>
        <v>3000</v>
      </c>
      <c r="G63" s="6">
        <f t="shared" ref="G63:G69" si="13">IF(F63=0,"NA",(+E63-F63)/F63)</f>
        <v>0.16666666666666666</v>
      </c>
      <c r="I63" s="40">
        <f>+'New Year-Full Year'!T69</f>
        <v>3736.89</v>
      </c>
      <c r="J63" s="40">
        <f>+'New Year-Full Year'!U69</f>
        <v>2750</v>
      </c>
      <c r="K63" s="6">
        <f t="shared" ref="K63:K69" si="14">IF(J63=0,"NA",(+I63-J63)/J63)</f>
        <v>0.35886909090909086</v>
      </c>
    </row>
    <row r="64" spans="1:11">
      <c r="A64" s="47">
        <v>70</v>
      </c>
      <c r="C64" s="1" t="str">
        <f>+'New Year-Full Year'!C70</f>
        <v>Postage</v>
      </c>
      <c r="E64" s="40">
        <f>+'New Year-Full Year'!O70</f>
        <v>3250</v>
      </c>
      <c r="F64" s="40">
        <f>+'New Year-Full Year'!P70</f>
        <v>3250</v>
      </c>
      <c r="G64" s="6">
        <f t="shared" si="13"/>
        <v>0</v>
      </c>
      <c r="I64" s="40">
        <f>+'New Year-Full Year'!T70</f>
        <v>3541.51</v>
      </c>
      <c r="J64" s="40">
        <f>+'New Year-Full Year'!U70</f>
        <v>2979.13</v>
      </c>
      <c r="K64" s="6">
        <f t="shared" si="14"/>
        <v>0.18877323245377009</v>
      </c>
    </row>
    <row r="65" spans="1:12">
      <c r="A65" s="47">
        <v>73</v>
      </c>
      <c r="C65" s="1" t="str">
        <f>+'New Year-Full Year'!C71</f>
        <v>Office Equipment/Computer</v>
      </c>
      <c r="E65" s="40">
        <f>+'New Year-Full Year'!O71</f>
        <v>13000</v>
      </c>
      <c r="F65" s="40">
        <f>+'New Year-Full Year'!P71</f>
        <v>13000</v>
      </c>
      <c r="G65" s="6">
        <f t="shared" si="13"/>
        <v>0</v>
      </c>
      <c r="I65" s="40">
        <f>+'New Year-Full Year'!T71</f>
        <v>14374.79</v>
      </c>
      <c r="J65" s="40">
        <f>+'New Year-Full Year'!U71</f>
        <v>11916.63</v>
      </c>
      <c r="K65" s="6">
        <f t="shared" si="14"/>
        <v>0.20627979554622422</v>
      </c>
    </row>
    <row r="66" spans="1:12">
      <c r="A66" s="47">
        <v>74</v>
      </c>
      <c r="C66" s="1" t="str">
        <f>+'New Year-Full Year'!C72</f>
        <v>Kitchen Supplies</v>
      </c>
      <c r="E66" s="40">
        <f>+'New Year-Full Year'!O72</f>
        <v>1000</v>
      </c>
      <c r="F66" s="40">
        <f>+'New Year-Full Year'!P72</f>
        <v>700</v>
      </c>
      <c r="G66" s="6">
        <f t="shared" si="13"/>
        <v>0.42857142857142855</v>
      </c>
      <c r="I66" s="40">
        <f>+'New Year-Full Year'!T72</f>
        <v>1120.0999999999999</v>
      </c>
      <c r="J66" s="40">
        <f>+'New Year-Full Year'!U72</f>
        <v>641.63</v>
      </c>
      <c r="K66" s="6">
        <f t="shared" si="14"/>
        <v>0.74571014447578809</v>
      </c>
    </row>
    <row r="67" spans="1:12">
      <c r="A67" s="47">
        <v>75</v>
      </c>
      <c r="C67" s="1" t="str">
        <f>+'New Year-Full Year'!C73</f>
        <v>Bank Fees</v>
      </c>
      <c r="E67" s="40">
        <f>+'New Year-Full Year'!O73</f>
        <v>1700</v>
      </c>
      <c r="F67" s="40">
        <f>+'New Year-Full Year'!P73</f>
        <v>1000</v>
      </c>
      <c r="G67" s="6">
        <f t="shared" si="13"/>
        <v>0.7</v>
      </c>
      <c r="I67" s="40">
        <f>+'New Year-Full Year'!T73</f>
        <v>1432.08</v>
      </c>
      <c r="J67" s="40">
        <f>+'New Year-Full Year'!U73</f>
        <v>916.63</v>
      </c>
      <c r="K67" s="6">
        <f t="shared" si="14"/>
        <v>0.56233158417245777</v>
      </c>
    </row>
    <row r="68" spans="1:12" s="4" customFormat="1">
      <c r="A68" s="47">
        <v>76</v>
      </c>
      <c r="B68" s="39" t="s">
        <v>40</v>
      </c>
      <c r="C68" s="39"/>
      <c r="D68" s="39"/>
      <c r="E68" s="39">
        <f>SUM(E63:E67)</f>
        <v>22450</v>
      </c>
      <c r="F68" s="39">
        <f>SUM(F63:F67)</f>
        <v>20950</v>
      </c>
      <c r="G68" s="23">
        <f t="shared" si="13"/>
        <v>7.1599045346062054E-2</v>
      </c>
      <c r="I68" s="39">
        <f>SUM(I63:I67)</f>
        <v>24205.370000000003</v>
      </c>
      <c r="J68" s="39">
        <f>SUM(J63:J67)</f>
        <v>19204.02</v>
      </c>
      <c r="K68" s="23">
        <f t="shared" si="14"/>
        <v>0.26043245112221308</v>
      </c>
    </row>
    <row r="69" spans="1:12">
      <c r="A69" s="47">
        <v>77</v>
      </c>
      <c r="B69" s="39" t="s">
        <v>93</v>
      </c>
      <c r="C69" s="25"/>
      <c r="D69" s="25"/>
      <c r="E69" s="39">
        <f>+E35+E41+E43+E50+E60+E68+E48</f>
        <v>52525</v>
      </c>
      <c r="F69" s="39">
        <f>+F35+F41+F43+F50+F60+F68+F48</f>
        <v>51350</v>
      </c>
      <c r="G69" s="23">
        <f t="shared" si="13"/>
        <v>2.2882181110029213E-2</v>
      </c>
      <c r="I69" s="39">
        <f>+I35+I41+I43+I50+I60+I68+I48</f>
        <v>42896.46</v>
      </c>
      <c r="J69" s="39">
        <f>+J35+J41+J43+J50+J60+J68+J48</f>
        <v>48140.759999999995</v>
      </c>
      <c r="K69" s="23">
        <f t="shared" si="14"/>
        <v>-0.10893679285495277</v>
      </c>
    </row>
    <row r="70" spans="1:12" ht="8.25" customHeight="1">
      <c r="A70" s="47">
        <v>78</v>
      </c>
      <c r="G70" s="42"/>
    </row>
    <row r="71" spans="1:12" ht="18.5">
      <c r="A71" s="47">
        <v>79</v>
      </c>
      <c r="B71" s="9" t="s">
        <v>39</v>
      </c>
      <c r="G71" s="42"/>
    </row>
    <row r="72" spans="1:12">
      <c r="A72" s="47">
        <v>81</v>
      </c>
      <c r="C72" s="469" t="s">
        <v>222</v>
      </c>
      <c r="D72" s="469"/>
      <c r="E72" s="40">
        <f>+'New Year-Full Year'!O$79+'New Year-Full Year'!O$92+'New Year-Full Year'!O$101+'New Year-Full Year'!O$108+'New Year-Full Year'!O$111+'New Year-Full Year'!O$131+SUM('New Year-Full Year'!O$134:O$137)+SUM('New Year-Full Year'!O$142:O$144)+'New Year-Full Year'!O$147</f>
        <v>274319</v>
      </c>
      <c r="F72" s="40">
        <f>+'New Year-Full Year'!P$79+'New Year-Full Year'!P$92+'New Year-Full Year'!P$101+'New Year-Full Year'!P$108+'New Year-Full Year'!P$111+'New Year-Full Year'!P$131+SUM('New Year-Full Year'!P$134:P$137)+SUM('New Year-Full Year'!P$142:P$144)+'New Year-Full Year'!P$147</f>
        <v>258280.91666666669</v>
      </c>
      <c r="G72" s="6">
        <f>IF(F72=0,"NA",(+E72-F72)/F72)</f>
        <v>6.2095502603592714E-2</v>
      </c>
      <c r="I72" s="40">
        <f>+'New Year-Full Year'!T$79+'New Year-Full Year'!T$92+'New Year-Full Year'!T$101+'New Year-Full Year'!T$108+'New Year-Full Year'!T$111+'New Year-Full Year'!T$131+SUM('New Year-Full Year'!T$134:T$137)+SUM('New Year-Full Year'!T$142:T$144)+'New Year-Full Year'!T$147</f>
        <v>218307.31</v>
      </c>
      <c r="J72" s="40">
        <f>+'New Year-Full Year'!U$79+'New Year-Full Year'!U$92+'New Year-Full Year'!U$101+'New Year-Full Year'!U$108+'New Year-Full Year'!U$111+'New Year-Full Year'!U$131+SUM('New Year-Full Year'!U$134:U$137)+SUM('New Year-Full Year'!U$142:U$144)+'New Year-Full Year'!U$147</f>
        <v>236369.47999999998</v>
      </c>
      <c r="K72" s="6">
        <f t="shared" ref="K72:K75" si="15">IF(J72=0,"NA",(+I72-J72)/J72)</f>
        <v>-7.6414983863398886E-2</v>
      </c>
    </row>
    <row r="73" spans="1:12">
      <c r="A73" s="47">
        <v>83</v>
      </c>
      <c r="C73" s="1" t="s">
        <v>106</v>
      </c>
      <c r="E73" s="40">
        <f>SUM('New Year-Full Year'!O81:O85)+'New Year-Full Year'!O88+'New Year-Full Year'!O93+SUM('New Year-Full Year'!O112:O114)+'New Year-Full Year'!O117+'New Year-Full Year'!O145+'New Year-Full Year'!O146</f>
        <v>43819.380499999999</v>
      </c>
      <c r="F73" s="40">
        <f>SUM('New Year-Full Year'!P81:P85)+'New Year-Full Year'!P88+'New Year-Full Year'!P93+SUM('New Year-Full Year'!P112:P114)+'New Year-Full Year'!P117+'New Year-Full Year'!P145+'New Year-Full Year'!P146</f>
        <v>52469.926743750009</v>
      </c>
      <c r="G73" s="6">
        <f>IF(F73=0,"NA",(+E73-F73)/F73)</f>
        <v>-0.16486674902362858</v>
      </c>
      <c r="I73" s="40">
        <f>SUM('New Year-Full Year'!T81:T85)+'New Year-Full Year'!T88+'New Year-Full Year'!T93+'New Year-Full Year'!T94+SUM('New Year-Full Year'!T112:T114)+'New Year-Full Year'!T117+'New Year-Full Year'!T145+'New Year-Full Year'!T146</f>
        <v>38871.67</v>
      </c>
      <c r="J73" s="40">
        <f>SUM('New Year-Full Year'!U81:U85)+'New Year-Full Year'!U88+'New Year-Full Year'!U93+'New Year-Full Year'!U94+SUM('New Year-Full Year'!U112:U114)+'New Year-Full Year'!U117+'New Year-Full Year'!U145+'New Year-Full Year'!U146</f>
        <v>48284.76</v>
      </c>
      <c r="K73" s="6">
        <f t="shared" si="15"/>
        <v>-0.19494950373575437</v>
      </c>
      <c r="L73" s="376"/>
    </row>
    <row r="74" spans="1:12">
      <c r="A74" s="47">
        <v>84</v>
      </c>
      <c r="C74" s="1" t="s">
        <v>314</v>
      </c>
      <c r="E74" s="40">
        <f>+'New Year-Full Year'!O80+'New Year-Full Year'!O86+'New Year-Full Year'!O87+SUM('New Year-Full Year'!O94:O97)+'New Year-Full Year'!O102+'New Year-Full Year'!O115+'New Year-Full Year'!O116+'New Year-Full Year'!O140+'New Year-Full Year'!O141</f>
        <v>8010</v>
      </c>
      <c r="F74" s="40">
        <f>+'New Year-Full Year'!P80+'New Year-Full Year'!P86+'New Year-Full Year'!P87+SUM('New Year-Full Year'!P94:P97)+'New Year-Full Year'!P102+'New Year-Full Year'!P115+'New Year-Full Year'!P116+'New Year-Full Year'!P140+'New Year-Full Year'!P141</f>
        <v>5050</v>
      </c>
      <c r="G74" s="6">
        <f>IF(F74=0,"NA",(+E74-F74)/F74)</f>
        <v>0.5861386138613861</v>
      </c>
      <c r="I74" s="40">
        <f>+'New Year-Full Year'!T80+'New Year-Full Year'!T86+'New Year-Full Year'!T87+SUM('New Year-Full Year'!T95:T97)+'New Year-Full Year'!T102+'New Year-Full Year'!T115+'New Year-Full Year'!T116+'New Year-Full Year'!T140+'New Year-Full Year'!T141</f>
        <v>1344.3000000000002</v>
      </c>
      <c r="J74" s="40">
        <f>+'New Year-Full Year'!U80+'New Year-Full Year'!U86+'New Year-Full Year'!U87+SUM('New Year-Full Year'!U95:U97)+'New Year-Full Year'!U102+'New Year-Full Year'!U115+'New Year-Full Year'!U116+'New Year-Full Year'!U140+'New Year-Full Year'!U141</f>
        <v>4629.13</v>
      </c>
      <c r="K74" s="6">
        <f t="shared" si="15"/>
        <v>-0.70959986001689301</v>
      </c>
    </row>
    <row r="75" spans="1:12" s="4" customFormat="1">
      <c r="A75" s="47">
        <v>86</v>
      </c>
      <c r="B75" s="26" t="s">
        <v>109</v>
      </c>
      <c r="C75" s="26"/>
      <c r="D75" s="26"/>
      <c r="E75" s="26">
        <f>SUM(E72:E74)</f>
        <v>326148.38049999997</v>
      </c>
      <c r="F75" s="26">
        <f>SUM(F72:F74)</f>
        <v>315800.84341041668</v>
      </c>
      <c r="G75" s="27">
        <f>IF(F75=0,"NA",(+E75-F75)/F75)</f>
        <v>3.2766021071500333E-2</v>
      </c>
      <c r="I75" s="26">
        <f>SUM(I72:I74)</f>
        <v>258523.27999999997</v>
      </c>
      <c r="J75" s="26">
        <f>SUM(J72:J74)</f>
        <v>289283.37</v>
      </c>
      <c r="K75" s="27">
        <f t="shared" si="15"/>
        <v>-0.10633203699196406</v>
      </c>
      <c r="L75" s="377"/>
    </row>
    <row r="76" spans="1:12" ht="8.25" customHeight="1">
      <c r="A76" s="47">
        <v>129</v>
      </c>
      <c r="G76" s="42"/>
    </row>
    <row r="77" spans="1:12" ht="18.5">
      <c r="A77" s="47">
        <v>130</v>
      </c>
      <c r="B77" s="9" t="s">
        <v>64</v>
      </c>
      <c r="G77" s="42"/>
    </row>
    <row r="78" spans="1:12">
      <c r="A78" s="47">
        <v>131</v>
      </c>
      <c r="B78" s="4" t="s">
        <v>65</v>
      </c>
      <c r="G78" s="42"/>
    </row>
    <row r="79" spans="1:12">
      <c r="A79" s="47">
        <v>132</v>
      </c>
      <c r="C79" s="1" t="str">
        <f>+'New Year-Full Year'!C153</f>
        <v>Electric</v>
      </c>
      <c r="E79" s="40">
        <f>+'New Year-Full Year'!O153</f>
        <v>10500</v>
      </c>
      <c r="F79" s="40">
        <f>+'New Year-Full Year'!P153</f>
        <v>8400</v>
      </c>
      <c r="G79" s="6">
        <f t="shared" ref="G79:G86" si="16">IF(F79=0,"NA",(+E79-F79)/F79)</f>
        <v>0.25</v>
      </c>
      <c r="I79" s="40">
        <f>+'New Year-Full Year'!T153</f>
        <v>9609.19</v>
      </c>
      <c r="J79" s="40">
        <f>+'New Year-Full Year'!U153</f>
        <v>7700</v>
      </c>
      <c r="K79" s="6">
        <f t="shared" ref="K79:K86" si="17">IF(J79=0,"NA",(+I79-J79)/J79)</f>
        <v>0.2479467532467533</v>
      </c>
    </row>
    <row r="80" spans="1:12">
      <c r="A80" s="47">
        <v>133</v>
      </c>
      <c r="C80" s="1" t="str">
        <f>+'New Year-Full Year'!C154</f>
        <v>Gas</v>
      </c>
      <c r="E80" s="40">
        <f>+'New Year-Full Year'!O154</f>
        <v>8160</v>
      </c>
      <c r="F80" s="40">
        <f>+'New Year-Full Year'!P154</f>
        <v>8000</v>
      </c>
      <c r="G80" s="6">
        <f t="shared" si="16"/>
        <v>0.02</v>
      </c>
      <c r="I80" s="40">
        <f>+'New Year-Full Year'!T154</f>
        <v>7398.28</v>
      </c>
      <c r="J80" s="40">
        <f>+'New Year-Full Year'!U154</f>
        <v>7333.37</v>
      </c>
      <c r="K80" s="6">
        <f t="shared" si="17"/>
        <v>8.8513193797667179E-3</v>
      </c>
    </row>
    <row r="81" spans="1:11">
      <c r="A81" s="47">
        <v>134</v>
      </c>
      <c r="C81" s="1" t="str">
        <f>+'New Year-Full Year'!C155</f>
        <v>Telephone (and Internet)</v>
      </c>
      <c r="E81" s="40">
        <f>+'New Year-Full Year'!O155</f>
        <v>4500</v>
      </c>
      <c r="F81" s="40">
        <f>+'New Year-Full Year'!P155</f>
        <v>5000</v>
      </c>
      <c r="G81" s="6">
        <f t="shared" si="16"/>
        <v>-0.1</v>
      </c>
      <c r="I81" s="40">
        <f>+'New Year-Full Year'!T155</f>
        <v>4912.37</v>
      </c>
      <c r="J81" s="40">
        <f>+'New Year-Full Year'!U155</f>
        <v>4583.37</v>
      </c>
      <c r="K81" s="6">
        <f t="shared" si="17"/>
        <v>7.1781243931866731E-2</v>
      </c>
    </row>
    <row r="82" spans="1:11">
      <c r="A82" s="47">
        <v>135</v>
      </c>
      <c r="C82" s="1" t="str">
        <f>+'New Year-Full Year'!C156</f>
        <v>Water</v>
      </c>
      <c r="E82" s="40">
        <f>+'New Year-Full Year'!O156</f>
        <v>816</v>
      </c>
      <c r="F82" s="40">
        <f>+'New Year-Full Year'!P156</f>
        <v>800</v>
      </c>
      <c r="G82" s="6">
        <f t="shared" si="16"/>
        <v>0.02</v>
      </c>
      <c r="I82" s="40">
        <f>+'New Year-Full Year'!T156</f>
        <v>846.17</v>
      </c>
      <c r="J82" s="40">
        <f>+'New Year-Full Year'!U156</f>
        <v>800</v>
      </c>
      <c r="K82" s="6">
        <f t="shared" si="17"/>
        <v>5.7712499999999951E-2</v>
      </c>
    </row>
    <row r="83" spans="1:11">
      <c r="A83" s="47">
        <v>136</v>
      </c>
      <c r="C83" s="1" t="str">
        <f>+'New Year-Full Year'!C157</f>
        <v>Security</v>
      </c>
      <c r="E83" s="40">
        <f>+'New Year-Full Year'!O157</f>
        <v>300</v>
      </c>
      <c r="F83" s="40">
        <f>+'New Year-Full Year'!P157</f>
        <v>300</v>
      </c>
      <c r="G83" s="6">
        <f t="shared" si="16"/>
        <v>0</v>
      </c>
      <c r="I83" s="40">
        <f>+'New Year-Full Year'!T157</f>
        <v>680.37</v>
      </c>
      <c r="J83" s="40">
        <f>+'New Year-Full Year'!U157</f>
        <v>300</v>
      </c>
      <c r="K83" s="6">
        <f t="shared" si="17"/>
        <v>1.2679</v>
      </c>
    </row>
    <row r="84" spans="1:11">
      <c r="A84" s="47">
        <v>137</v>
      </c>
      <c r="C84" s="1" t="str">
        <f>+'New Year-Full Year'!C158</f>
        <v>Cell Phone</v>
      </c>
      <c r="E84" s="40">
        <f>+'New Year-Full Year'!O158</f>
        <v>600</v>
      </c>
      <c r="F84" s="40">
        <f>+'New Year-Full Year'!P158</f>
        <v>2000</v>
      </c>
      <c r="G84" s="6">
        <f t="shared" si="16"/>
        <v>-0.7</v>
      </c>
      <c r="I84" s="40">
        <f>+'New Year-Full Year'!T158</f>
        <v>1568.57</v>
      </c>
      <c r="J84" s="40">
        <f>+'New Year-Full Year'!U158</f>
        <v>1833.37</v>
      </c>
      <c r="K84" s="6">
        <f t="shared" si="17"/>
        <v>-0.14443347496686429</v>
      </c>
    </row>
    <row r="85" spans="1:11">
      <c r="A85" s="47">
        <v>138</v>
      </c>
      <c r="C85" s="1" t="str">
        <f>+'New Year-Full Year'!C159</f>
        <v>City Assessment</v>
      </c>
      <c r="E85" s="40">
        <f>+'New Year-Full Year'!O159</f>
        <v>4500</v>
      </c>
      <c r="F85" s="40">
        <f>+'New Year-Full Year'!P159</f>
        <v>4500</v>
      </c>
      <c r="G85" s="6">
        <f t="shared" si="16"/>
        <v>0</v>
      </c>
      <c r="I85" s="40">
        <f>+'New Year-Full Year'!T159</f>
        <v>4242.25</v>
      </c>
      <c r="J85" s="40">
        <f>+'New Year-Full Year'!U159</f>
        <v>4500</v>
      </c>
      <c r="K85" s="6">
        <f t="shared" si="17"/>
        <v>-5.7277777777777775E-2</v>
      </c>
    </row>
    <row r="86" spans="1:11" s="4" customFormat="1">
      <c r="A86" s="47">
        <v>139</v>
      </c>
      <c r="B86" s="29" t="s">
        <v>73</v>
      </c>
      <c r="C86" s="29"/>
      <c r="D86" s="29"/>
      <c r="E86" s="29">
        <f>SUM(E79:E85)</f>
        <v>29376</v>
      </c>
      <c r="F86" s="29">
        <f>SUM(F79:F85)</f>
        <v>29000</v>
      </c>
      <c r="G86" s="30">
        <f t="shared" si="16"/>
        <v>1.296551724137931E-2</v>
      </c>
      <c r="I86" s="29">
        <f>SUM(I79:I85)</f>
        <v>29257.199999999997</v>
      </c>
      <c r="J86" s="29">
        <f>SUM(J79:J85)</f>
        <v>27050.109999999997</v>
      </c>
      <c r="K86" s="30">
        <f t="shared" si="17"/>
        <v>8.1592644170393414E-2</v>
      </c>
    </row>
    <row r="87" spans="1:11" s="4" customFormat="1" ht="6.75" customHeight="1">
      <c r="A87" s="47">
        <v>140</v>
      </c>
      <c r="B87" s="17"/>
      <c r="C87" s="17"/>
      <c r="D87" s="17"/>
      <c r="E87" s="17"/>
      <c r="F87" s="17"/>
      <c r="G87" s="20"/>
      <c r="I87" s="17"/>
      <c r="J87" s="17"/>
      <c r="K87" s="20"/>
    </row>
    <row r="88" spans="1:11">
      <c r="A88" s="47">
        <v>141</v>
      </c>
      <c r="B88" s="4" t="s">
        <v>74</v>
      </c>
      <c r="G88" s="42"/>
    </row>
    <row r="89" spans="1:11">
      <c r="A89" s="47">
        <v>142</v>
      </c>
      <c r="C89" s="1" t="str">
        <f>+'New Year-Full Year'!C163</f>
        <v>Insurance</v>
      </c>
      <c r="E89" s="40">
        <f>+'New Year-Full Year'!O163</f>
        <v>16899.940000000002</v>
      </c>
      <c r="F89" s="40">
        <f>+'New Year-Full Year'!P163</f>
        <v>14821</v>
      </c>
      <c r="G89" s="6">
        <f t="shared" ref="G89:G96" si="18">IF(F89=0,"NA",(+E89-F89)/F89)</f>
        <v>0.14026988732204321</v>
      </c>
      <c r="I89" s="40">
        <f>+'New Year-Full Year'!T163</f>
        <v>15945.5</v>
      </c>
      <c r="J89" s="40">
        <f>+'New Year-Full Year'!U163</f>
        <v>14821</v>
      </c>
      <c r="K89" s="6">
        <f t="shared" ref="K89:K96" si="19">IF(J89=0,"NA",(+I89-J89)/J89)</f>
        <v>7.5872073409351592E-2</v>
      </c>
    </row>
    <row r="90" spans="1:11">
      <c r="A90" s="47">
        <v>143</v>
      </c>
      <c r="C90" s="1" t="str">
        <f>+'New Year-Full Year'!C164</f>
        <v>Snow Removal</v>
      </c>
      <c r="E90" s="40">
        <f>+'New Year-Full Year'!O164</f>
        <v>4500</v>
      </c>
      <c r="F90" s="40">
        <f>+'New Year-Full Year'!P164</f>
        <v>4000</v>
      </c>
      <c r="G90" s="6">
        <f t="shared" si="18"/>
        <v>0.125</v>
      </c>
      <c r="I90" s="40">
        <f>+'New Year-Full Year'!T164</f>
        <v>4466.5</v>
      </c>
      <c r="J90" s="40">
        <f>+'New Year-Full Year'!U164</f>
        <v>3000</v>
      </c>
      <c r="K90" s="6">
        <f t="shared" si="19"/>
        <v>0.48883333333333334</v>
      </c>
    </row>
    <row r="91" spans="1:11">
      <c r="A91" s="47">
        <v>144</v>
      </c>
      <c r="C91" s="1" t="str">
        <f>+'New Year-Full Year'!C165</f>
        <v>Maint.  Supplies</v>
      </c>
      <c r="E91" s="40">
        <f>+'New Year-Full Year'!O165</f>
        <v>4000</v>
      </c>
      <c r="F91" s="40">
        <f>+'New Year-Full Year'!P165</f>
        <v>4000</v>
      </c>
      <c r="G91" s="6">
        <f t="shared" si="18"/>
        <v>0</v>
      </c>
      <c r="I91" s="40">
        <f>+'New Year-Full Year'!T165</f>
        <v>3636.22</v>
      </c>
      <c r="J91" s="40">
        <f>+'New Year-Full Year'!U165</f>
        <v>3666.63</v>
      </c>
      <c r="K91" s="6">
        <f t="shared" si="19"/>
        <v>-8.2937193008294566E-3</v>
      </c>
    </row>
    <row r="92" spans="1:11" ht="15" customHeight="1">
      <c r="A92" s="47">
        <v>145</v>
      </c>
      <c r="C92" s="1" t="str">
        <f>+'New Year-Full Year'!C166</f>
        <v>Maintenance Contracts</v>
      </c>
      <c r="D92" s="86"/>
      <c r="E92" s="40">
        <f>+'New Year-Full Year'!O166</f>
        <v>8000</v>
      </c>
      <c r="F92" s="40">
        <f>+'New Year-Full Year'!P166</f>
        <v>3500</v>
      </c>
      <c r="G92" s="6">
        <f t="shared" si="18"/>
        <v>1.2857142857142858</v>
      </c>
      <c r="I92" s="40">
        <f>+'New Year-Full Year'!T166</f>
        <v>5246.05</v>
      </c>
      <c r="J92" s="40">
        <f>+'New Year-Full Year'!U166</f>
        <v>3208.37</v>
      </c>
      <c r="K92" s="6">
        <f t="shared" si="19"/>
        <v>0.63511378051783318</v>
      </c>
    </row>
    <row r="93" spans="1:11">
      <c r="A93" s="47">
        <v>146</v>
      </c>
      <c r="C93" s="1" t="str">
        <f>+'New Year-Full Year'!C167</f>
        <v>Building Repairs</v>
      </c>
      <c r="E93" s="40">
        <f>+'New Year-Full Year'!O167</f>
        <v>8000</v>
      </c>
      <c r="F93" s="40">
        <f>+'New Year-Full Year'!P167</f>
        <v>7500</v>
      </c>
      <c r="G93" s="6">
        <f t="shared" si="18"/>
        <v>6.6666666666666666E-2</v>
      </c>
      <c r="I93" s="40">
        <f>+'New Year-Full Year'!T167</f>
        <v>13108.85</v>
      </c>
      <c r="J93" s="40">
        <f>+'New Year-Full Year'!U167</f>
        <v>6875</v>
      </c>
      <c r="K93" s="6">
        <f t="shared" si="19"/>
        <v>0.9067418181818182</v>
      </c>
    </row>
    <row r="94" spans="1:11">
      <c r="A94" s="47">
        <v>149</v>
      </c>
      <c r="C94" s="1" t="str">
        <f>+'New Year-Full Year'!C168</f>
        <v>Interest-Line of Credit</v>
      </c>
      <c r="E94" s="40">
        <f>+'New Year-Full Year'!O168</f>
        <v>0</v>
      </c>
      <c r="F94" s="40">
        <f>+'New Year-Full Year'!P168</f>
        <v>0</v>
      </c>
      <c r="G94" s="6" t="str">
        <f t="shared" si="18"/>
        <v>NA</v>
      </c>
      <c r="I94" s="40">
        <f>+'New Year-Full Year'!T168</f>
        <v>0</v>
      </c>
      <c r="J94" s="40">
        <f>+'New Year-Full Year'!U168</f>
        <v>0</v>
      </c>
      <c r="K94" s="6" t="str">
        <f t="shared" si="19"/>
        <v>NA</v>
      </c>
    </row>
    <row r="95" spans="1:11" s="4" customFormat="1">
      <c r="A95" s="47">
        <v>150</v>
      </c>
      <c r="B95" s="29" t="s">
        <v>79</v>
      </c>
      <c r="C95" s="29"/>
      <c r="D95" s="29"/>
      <c r="E95" s="29">
        <f>SUM(E89:E94)</f>
        <v>41399.94</v>
      </c>
      <c r="F95" s="29">
        <f>SUM(F89:F94)</f>
        <v>33821</v>
      </c>
      <c r="G95" s="30">
        <f t="shared" si="18"/>
        <v>0.22408976671298905</v>
      </c>
      <c r="I95" s="29">
        <f>SUM(I89:I94)</f>
        <v>42403.12</v>
      </c>
      <c r="J95" s="29">
        <f>SUM(J89:J94)</f>
        <v>31571</v>
      </c>
      <c r="K95" s="30">
        <f t="shared" si="19"/>
        <v>0.3431034810427292</v>
      </c>
    </row>
    <row r="96" spans="1:11">
      <c r="A96" s="47">
        <v>151</v>
      </c>
      <c r="B96" s="29" t="s">
        <v>80</v>
      </c>
      <c r="C96" s="29"/>
      <c r="D96" s="29"/>
      <c r="E96" s="29">
        <f>+E86+E95</f>
        <v>70775.94</v>
      </c>
      <c r="F96" s="29">
        <f>+F86+F95</f>
        <v>62821</v>
      </c>
      <c r="G96" s="30">
        <f t="shared" si="18"/>
        <v>0.1266286751245603</v>
      </c>
      <c r="I96" s="29">
        <f>+I86+I95</f>
        <v>71660.320000000007</v>
      </c>
      <c r="J96" s="29">
        <f>+J86+J95</f>
        <v>58621.11</v>
      </c>
      <c r="K96" s="30">
        <f t="shared" si="19"/>
        <v>0.2224319873847494</v>
      </c>
    </row>
    <row r="97" spans="1:11" ht="4.5" customHeight="1">
      <c r="A97" s="47">
        <v>152</v>
      </c>
      <c r="G97" s="42"/>
    </row>
    <row r="98" spans="1:11" ht="18.5">
      <c r="A98" s="47">
        <v>153</v>
      </c>
      <c r="B98" s="9" t="s">
        <v>81</v>
      </c>
      <c r="G98" s="42"/>
    </row>
    <row r="99" spans="1:11">
      <c r="A99" s="47">
        <v>154</v>
      </c>
      <c r="B99" s="4" t="s">
        <v>82</v>
      </c>
      <c r="G99" s="42"/>
    </row>
    <row r="100" spans="1:11">
      <c r="A100" s="47">
        <v>155</v>
      </c>
      <c r="C100" s="1" t="str">
        <f>'New Year-Full Year'!C174</f>
        <v>Operating Fund Reserve</v>
      </c>
      <c r="E100" s="40">
        <f>SUM('New Year-Full Year'!O174:O174)</f>
        <v>0</v>
      </c>
      <c r="F100" s="40">
        <f>SUM('New Year-Full Year'!P174:P174)</f>
        <v>0</v>
      </c>
      <c r="G100" s="6" t="str">
        <f t="shared" ref="G100:G106" si="20">IF(F100=0,"NA",(+E100-F100)/F100)</f>
        <v>NA</v>
      </c>
      <c r="I100" s="40">
        <f>SUM('New Year-Full Year'!T174:T174)</f>
        <v>4406.13</v>
      </c>
      <c r="J100" s="40">
        <f>SUM('New Year-Full Year'!U174:U174)</f>
        <v>0</v>
      </c>
      <c r="K100" s="6" t="str">
        <f t="shared" ref="K100:K106" si="21">IF(J100=0,"NA",(+I100-J100)/J100)</f>
        <v>NA</v>
      </c>
    </row>
    <row r="101" spans="1:11">
      <c r="C101" s="1" t="str">
        <f>'New Year-Full Year'!C175</f>
        <v>Pastor Transition</v>
      </c>
      <c r="E101" s="40">
        <f>SUM('New Year-Full Year'!O175:O175)</f>
        <v>0</v>
      </c>
      <c r="F101" s="40">
        <f>SUM('New Year-Full Year'!P175:P175)</f>
        <v>0</v>
      </c>
      <c r="G101" s="6" t="str">
        <f t="shared" ref="G101" si="22">IF(F101=0,"NA",(+E101-F101)/F101)</f>
        <v>NA</v>
      </c>
      <c r="I101" s="40">
        <f>SUM('New Year-Full Year'!T175:T175)</f>
        <v>148.38</v>
      </c>
      <c r="J101" s="40">
        <f>SUM('New Year-Full Year'!U175:U175)</f>
        <v>0</v>
      </c>
      <c r="K101" s="6" t="str">
        <f t="shared" ref="K101" si="23">IF(J101=0,"NA",(+I101-J101)/J101)</f>
        <v>NA</v>
      </c>
    </row>
    <row r="102" spans="1:11">
      <c r="A102" s="47">
        <v>156</v>
      </c>
      <c r="C102" s="1" t="str">
        <f>'New Year-Full Year'!C176</f>
        <v>Facilities Fund Reserve</v>
      </c>
      <c r="E102" s="40">
        <f>+'New Year-Full Year'!O176</f>
        <v>12000</v>
      </c>
      <c r="F102" s="40">
        <f>+'New Year-Full Year'!P176</f>
        <v>24378</v>
      </c>
      <c r="G102" s="6">
        <f t="shared" si="20"/>
        <v>-0.50775289195175977</v>
      </c>
      <c r="I102" s="40">
        <f>+'New Year-Full Year'!T176</f>
        <v>0</v>
      </c>
      <c r="J102" s="40">
        <f>+'New Year-Full Year'!U176</f>
        <v>22346.5</v>
      </c>
      <c r="K102" s="6">
        <f t="shared" si="21"/>
        <v>-1</v>
      </c>
    </row>
    <row r="103" spans="1:11">
      <c r="A103" s="47">
        <v>157</v>
      </c>
      <c r="C103" s="1" t="str">
        <f>'New Year-Full Year'!C177</f>
        <v>Facilities Maintenance</v>
      </c>
      <c r="E103" s="40">
        <f>+'New Year-Full Year'!O177</f>
        <v>521</v>
      </c>
      <c r="F103" s="40">
        <f>+'New Year-Full Year'!P177</f>
        <v>5000</v>
      </c>
      <c r="G103" s="6">
        <f t="shared" si="20"/>
        <v>-0.89580000000000004</v>
      </c>
      <c r="I103" s="40">
        <f>+'New Year-Full Year'!T177</f>
        <v>0</v>
      </c>
      <c r="J103" s="40">
        <f>+'New Year-Full Year'!U177</f>
        <v>4583.37</v>
      </c>
      <c r="K103" s="6">
        <f t="shared" si="21"/>
        <v>-1</v>
      </c>
    </row>
    <row r="104" spans="1:11">
      <c r="C104" s="1" t="s">
        <v>217</v>
      </c>
      <c r="E104" s="40">
        <f>+'New Year-Full Year'!O178</f>
        <v>0</v>
      </c>
      <c r="F104" s="40">
        <f>+'New Year-Full Year'!P178</f>
        <v>10000</v>
      </c>
      <c r="G104" s="6">
        <f t="shared" si="20"/>
        <v>-1</v>
      </c>
      <c r="I104" s="40">
        <f>+'New Year-Full Year'!T178</f>
        <v>0</v>
      </c>
      <c r="J104" s="40">
        <f>+'New Year-Full Year'!U178</f>
        <v>9166.6299999999992</v>
      </c>
      <c r="K104" s="6">
        <f t="shared" si="21"/>
        <v>-1</v>
      </c>
    </row>
    <row r="105" spans="1:11" hidden="1">
      <c r="A105" s="47">
        <v>158</v>
      </c>
      <c r="C105" s="1" t="str">
        <f>'New Year-Full Year'!C179</f>
        <v>Line of Credit Payment</v>
      </c>
      <c r="E105" s="40">
        <f>+'New Year-Full Year'!O179</f>
        <v>0</v>
      </c>
      <c r="F105" s="40">
        <f>+'New Year-Full Year'!P179</f>
        <v>0</v>
      </c>
      <c r="G105" s="6" t="str">
        <f t="shared" si="20"/>
        <v>NA</v>
      </c>
      <c r="I105" s="40">
        <f>+'New Year-Full Year'!T179</f>
        <v>0</v>
      </c>
      <c r="J105" s="40">
        <f>+'New Year-Full Year'!U179</f>
        <v>0</v>
      </c>
      <c r="K105" s="6" t="str">
        <f t="shared" si="21"/>
        <v>NA</v>
      </c>
    </row>
    <row r="106" spans="1:11" s="4" customFormat="1">
      <c r="A106" s="47">
        <v>159</v>
      </c>
      <c r="B106" s="31" t="s">
        <v>85</v>
      </c>
      <c r="C106" s="31"/>
      <c r="D106" s="31"/>
      <c r="E106" s="31">
        <f>SUM(E100:E105)</f>
        <v>12521</v>
      </c>
      <c r="F106" s="31">
        <f>SUM(F100:F105)</f>
        <v>39378</v>
      </c>
      <c r="G106" s="32">
        <f t="shared" si="20"/>
        <v>-0.68203057544821977</v>
      </c>
      <c r="I106" s="31">
        <f>SUM(I100:I105)</f>
        <v>4554.51</v>
      </c>
      <c r="J106" s="31">
        <f>SUM(J100:J105)</f>
        <v>36096.5</v>
      </c>
      <c r="K106" s="32">
        <f t="shared" si="21"/>
        <v>-0.87382405496377757</v>
      </c>
    </row>
    <row r="107" spans="1:11" ht="7.5" customHeight="1">
      <c r="A107" s="47">
        <v>160</v>
      </c>
      <c r="G107" s="42"/>
    </row>
    <row r="108" spans="1:11">
      <c r="A108" s="47">
        <v>161</v>
      </c>
      <c r="B108" s="33" t="s">
        <v>86</v>
      </c>
      <c r="C108" s="34"/>
      <c r="D108" s="34"/>
      <c r="E108" s="33">
        <f>+E69+E96+E106+E24+E75</f>
        <v>513300.32049999997</v>
      </c>
      <c r="F108" s="33">
        <f>+F69+F96+F106+F24+F75</f>
        <v>521499.84341041668</v>
      </c>
      <c r="G108" s="35">
        <f t="shared" ref="G108:G109" si="24">IF(F108=0,"NA",(+E108-F108)/F108)</f>
        <v>-1.5722963322088175E-2</v>
      </c>
      <c r="I108" s="33">
        <f>+I69+I96+I106+I24+I75</f>
        <v>422051.19999999995</v>
      </c>
      <c r="J108" s="33">
        <f>+J69+J96+J106+J24+J75</f>
        <v>477062.5</v>
      </c>
      <c r="K108" s="35">
        <f>IF(J108=0,"NA",(+I108-J108)/J108)</f>
        <v>-0.11531256386741789</v>
      </c>
    </row>
    <row r="109" spans="1:11">
      <c r="A109" s="47">
        <v>162</v>
      </c>
      <c r="B109" s="33" t="s">
        <v>87</v>
      </c>
      <c r="C109" s="34"/>
      <c r="D109" s="34"/>
      <c r="E109" s="33">
        <f>ROUND(+E21-E108,0)</f>
        <v>0</v>
      </c>
      <c r="F109" s="33">
        <f>ROUND(+F21-F108,0)</f>
        <v>0</v>
      </c>
      <c r="G109" s="35" t="str">
        <f t="shared" si="24"/>
        <v>NA</v>
      </c>
      <c r="I109" s="33">
        <f>ROUND(+I21-I108,0)</f>
        <v>45833</v>
      </c>
      <c r="J109" s="33">
        <f>ROUND(+J21-J108,0)</f>
        <v>-1322</v>
      </c>
      <c r="K109" s="35">
        <f>IF(J109=0,"NA",(+I109-J109)/J109)</f>
        <v>-35.66944024205749</v>
      </c>
    </row>
    <row r="110" spans="1:11" ht="7.25" customHeight="1" thickBot="1">
      <c r="G110" s="42"/>
    </row>
    <row r="111" spans="1:11">
      <c r="B111" s="115" t="s">
        <v>194</v>
      </c>
      <c r="C111" s="116"/>
      <c r="D111" s="116"/>
      <c r="E111" s="132">
        <f>+E21-E19</f>
        <v>513300</v>
      </c>
      <c r="F111" s="132">
        <f>+F21-F19</f>
        <v>521500</v>
      </c>
      <c r="G111" s="120">
        <f t="shared" ref="G111:G113" si="25">IF(F111=0,"NA",(+E111-F111)/F111)</f>
        <v>-1.5723873441994246E-2</v>
      </c>
      <c r="H111" s="117"/>
      <c r="I111" s="132">
        <f t="shared" ref="I111:J111" si="26">+I21-I19</f>
        <v>467884.45</v>
      </c>
      <c r="J111" s="132">
        <f t="shared" si="26"/>
        <v>475740.27</v>
      </c>
      <c r="K111" s="121">
        <f t="shared" ref="K111:K113" si="27">IF(J111=0,"NA",(+I111-J111)/J111)</f>
        <v>-1.6512833777977229E-2</v>
      </c>
    </row>
    <row r="112" spans="1:11">
      <c r="B112" s="122" t="s">
        <v>176</v>
      </c>
      <c r="C112" s="110"/>
      <c r="D112" s="110"/>
      <c r="E112" s="133">
        <f>+E108-E106</f>
        <v>500779.32049999997</v>
      </c>
      <c r="F112" s="133">
        <f>+F108-F106</f>
        <v>482121.84341041668</v>
      </c>
      <c r="G112" s="114">
        <f t="shared" si="25"/>
        <v>3.8698676163694809E-2</v>
      </c>
      <c r="H112" s="111"/>
      <c r="I112" s="133">
        <f>+I108-I106</f>
        <v>417496.68999999994</v>
      </c>
      <c r="J112" s="133">
        <f>+J108-J106</f>
        <v>440966</v>
      </c>
      <c r="K112" s="123">
        <f t="shared" si="27"/>
        <v>-5.3222493344158177E-2</v>
      </c>
    </row>
    <row r="113" spans="1:11" ht="15" thickBot="1">
      <c r="B113" s="124" t="s">
        <v>195</v>
      </c>
      <c r="C113" s="125"/>
      <c r="D113" s="125"/>
      <c r="E113" s="134">
        <f>+E111-E112</f>
        <v>12520.679500000027</v>
      </c>
      <c r="F113" s="134">
        <f>+F111-F112</f>
        <v>39378.156589583319</v>
      </c>
      <c r="G113" s="130">
        <f t="shared" si="25"/>
        <v>-0.68203997890261536</v>
      </c>
      <c r="H113" s="127"/>
      <c r="I113" s="134">
        <f>+I111-I112</f>
        <v>50387.760000000068</v>
      </c>
      <c r="J113" s="134">
        <f>+J111-J112</f>
        <v>34774.270000000019</v>
      </c>
      <c r="K113" s="131">
        <f t="shared" si="27"/>
        <v>0.44899547855354088</v>
      </c>
    </row>
    <row r="114" spans="1:11" ht="5" customHeight="1">
      <c r="G114" s="42"/>
    </row>
    <row r="115" spans="1:11">
      <c r="A115" s="1"/>
      <c r="B115" s="1"/>
      <c r="C115" s="469" t="s">
        <v>223</v>
      </c>
      <c r="D115" s="469"/>
      <c r="E115" s="469"/>
      <c r="F115" s="469"/>
      <c r="G115" s="469"/>
      <c r="H115" s="469"/>
      <c r="I115" s="469"/>
      <c r="J115" s="469"/>
      <c r="K115" s="469"/>
    </row>
  </sheetData>
  <mergeCells count="6">
    <mergeCell ref="C115:K115"/>
    <mergeCell ref="B1:K1"/>
    <mergeCell ref="B2:K2"/>
    <mergeCell ref="I3:K3"/>
    <mergeCell ref="E3:G3"/>
    <mergeCell ref="C72:D72"/>
  </mergeCells>
  <pageMargins left="0" right="0" top="0" bottom="0.75" header="0.3" footer="0.05"/>
  <pageSetup scale="90" fitToHeight="0" orientation="portrait" r:id="rId1"/>
  <headerFooter>
    <oddFooter>&amp;C&amp;P of &amp;N&amp;R&amp;D</oddFooter>
  </headerFooter>
  <rowBreaks count="2" manualBreakCount="2">
    <brk id="51" max="16383" man="1"/>
    <brk id="87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35"/>
  <sheetViews>
    <sheetView showGridLines="0" topLeftCell="B3" workbookViewId="0">
      <pane xSplit="13" ySplit="2" topLeftCell="O80" activePane="bottomRight" state="frozen"/>
      <selection activeCell="I112" sqref="I112"/>
      <selection pane="topRight" activeCell="I112" sqref="I112"/>
      <selection pane="bottomLeft" activeCell="I112" sqref="I112"/>
      <selection pane="bottomRight" activeCell="O85" sqref="O85"/>
    </sheetView>
  </sheetViews>
  <sheetFormatPr defaultColWidth="9.08984375" defaultRowHeight="14.5" outlineLevelCol="1"/>
  <cols>
    <col min="1" max="1" width="4.453125" style="47" hidden="1" customWidth="1"/>
    <col min="2" max="2" width="4.36328125" style="4" customWidth="1"/>
    <col min="3" max="3" width="9.08984375" style="1"/>
    <col min="4" max="4" width="21.1796875" style="57" customWidth="1"/>
    <col min="5" max="5" width="11.54296875" style="89" hidden="1" customWidth="1" outlineLevel="1"/>
    <col min="6" max="6" width="11.36328125" style="42" hidden="1" customWidth="1" outlineLevel="1"/>
    <col min="7" max="7" width="8.6328125" style="42" hidden="1" customWidth="1" outlineLevel="1"/>
    <col min="8" max="8" width="10" style="42" hidden="1" customWidth="1" outlineLevel="1"/>
    <col min="9" max="9" width="10.6328125" style="42" hidden="1" customWidth="1" outlineLevel="1"/>
    <col min="10" max="10" width="8.08984375" style="42" hidden="1" customWidth="1" outlineLevel="1"/>
    <col min="11" max="11" width="10.36328125" style="42" hidden="1" customWidth="1" outlineLevel="1"/>
    <col min="12" max="12" width="7.08984375" style="42" hidden="1" customWidth="1" outlineLevel="1"/>
    <col min="13" max="13" width="8.36328125" style="42" hidden="1" customWidth="1" outlineLevel="1"/>
    <col min="14" max="14" width="9.6328125" style="1" hidden="1" customWidth="1" outlineLevel="1"/>
    <col min="15" max="15" width="11.08984375" style="1" customWidth="1" collapsed="1"/>
    <col min="16" max="16" width="11.08984375" style="1" customWidth="1"/>
    <col min="17" max="17" width="10.54296875" style="1" customWidth="1"/>
    <col min="18" max="18" width="9.36328125" style="1" customWidth="1"/>
    <col min="19" max="19" width="2.6328125" style="1" customWidth="1"/>
    <col min="20" max="20" width="10.90625" style="1" customWidth="1"/>
    <col min="21" max="21" width="10.453125" style="1" customWidth="1"/>
    <col min="22" max="22" width="9" style="7" customWidth="1"/>
    <col min="23" max="23" width="76.6328125" style="62" customWidth="1"/>
    <col min="24" max="24" width="58.6328125" style="38" hidden="1" customWidth="1"/>
    <col min="25" max="25" width="9.54296875" style="1" bestFit="1" customWidth="1"/>
    <col min="26" max="16384" width="9.08984375" style="1"/>
  </cols>
  <sheetData>
    <row r="1" spans="1:24" ht="41.25" customHeight="1">
      <c r="B1" s="470" t="s">
        <v>91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1"/>
    </row>
    <row r="2" spans="1:24" ht="23.25" customHeight="1">
      <c r="O2" s="475" t="s">
        <v>90</v>
      </c>
      <c r="P2" s="476"/>
      <c r="Q2" s="476"/>
      <c r="R2" s="477"/>
      <c r="T2" s="479" t="str">
        <f>Bud_Yr-1&amp;" Year to Date (YTD)"</f>
        <v>2018 Year to Date (YTD)</v>
      </c>
      <c r="U2" s="480"/>
      <c r="V2" s="481"/>
    </row>
    <row r="3" spans="1:24" ht="27.65" customHeight="1">
      <c r="O3" s="490" t="str">
        <f>Bud_Yr&amp;" Budget"</f>
        <v>2019 Budget</v>
      </c>
      <c r="P3" s="492" t="str">
        <f>Bud_Yr-1&amp;" Budget"</f>
        <v>2018 Budget</v>
      </c>
      <c r="Q3" s="482" t="str">
        <f>Bud_Yr&amp;" Budget vs             "&amp;Bud_Yr-1&amp;" Budget"</f>
        <v>2019 Budget vs             2018 Budget</v>
      </c>
      <c r="R3" s="483"/>
      <c r="S3" s="57"/>
      <c r="T3" s="484" t="s">
        <v>404</v>
      </c>
      <c r="U3" s="486" t="s">
        <v>405</v>
      </c>
      <c r="V3" s="488" t="s">
        <v>89</v>
      </c>
    </row>
    <row r="4" spans="1:24" s="4" customFormat="1">
      <c r="A4" s="48"/>
      <c r="D4" s="17"/>
      <c r="E4" s="90"/>
      <c r="F4" s="91"/>
      <c r="G4" s="91"/>
      <c r="H4" s="91"/>
      <c r="I4" s="91"/>
      <c r="J4" s="91"/>
      <c r="K4" s="91"/>
      <c r="L4" s="91"/>
      <c r="M4" s="91"/>
      <c r="O4" s="491"/>
      <c r="P4" s="493"/>
      <c r="Q4" s="56" t="s">
        <v>119</v>
      </c>
      <c r="R4" s="58" t="s">
        <v>120</v>
      </c>
      <c r="T4" s="485"/>
      <c r="U4" s="487"/>
      <c r="V4" s="489"/>
      <c r="W4" s="63" t="str">
        <f>Bud_Yr&amp;" Budget Notes"</f>
        <v>2019 Budget Notes</v>
      </c>
      <c r="X4" s="8" t="s">
        <v>121</v>
      </c>
    </row>
    <row r="5" spans="1:24" s="4" customFormat="1" ht="18.5">
      <c r="A5" s="48"/>
      <c r="B5" s="9" t="s">
        <v>0</v>
      </c>
      <c r="D5" s="17"/>
      <c r="E5" s="90"/>
      <c r="F5" s="91"/>
      <c r="G5" s="91"/>
      <c r="H5" s="91"/>
      <c r="I5" s="91"/>
      <c r="J5" s="91"/>
      <c r="K5" s="91"/>
      <c r="L5" s="91"/>
      <c r="M5" s="91"/>
      <c r="O5" s="10"/>
      <c r="P5" s="11"/>
      <c r="Q5" s="43"/>
      <c r="R5" s="11"/>
      <c r="T5" s="11"/>
      <c r="U5" s="11"/>
      <c r="V5" s="11"/>
      <c r="W5" s="80"/>
      <c r="X5" s="64"/>
    </row>
    <row r="6" spans="1:24">
      <c r="A6" s="47">
        <v>1</v>
      </c>
      <c r="B6" s="4" t="s">
        <v>1</v>
      </c>
      <c r="W6" s="81"/>
      <c r="X6" s="79"/>
    </row>
    <row r="7" spans="1:24">
      <c r="A7" s="47">
        <v>2</v>
      </c>
      <c r="C7" s="280" t="s">
        <v>1</v>
      </c>
      <c r="D7" s="292"/>
      <c r="E7" s="293"/>
      <c r="F7" s="294"/>
      <c r="G7" s="294"/>
      <c r="H7" s="294"/>
      <c r="I7" s="294"/>
      <c r="J7" s="294"/>
      <c r="K7" s="294"/>
      <c r="L7" s="294"/>
      <c r="M7" s="294"/>
      <c r="N7" s="280"/>
      <c r="O7" s="305">
        <f>+P7*0.98</f>
        <v>490000</v>
      </c>
      <c r="P7" s="277">
        <v>500000</v>
      </c>
      <c r="Q7" s="278">
        <f>+O7-P7</f>
        <v>-10000</v>
      </c>
      <c r="R7" s="279">
        <f>IF(P7=0,"NA",(+O7-P7)/P7)</f>
        <v>-0.02</v>
      </c>
      <c r="S7" s="280"/>
      <c r="T7" s="277">
        <v>448000.58</v>
      </c>
      <c r="U7" s="277">
        <v>461100.26</v>
      </c>
      <c r="V7" s="279">
        <f t="shared" ref="V7:V12" si="0">IF(U7=0,"NA",(+T7-U7)/U7)</f>
        <v>-2.8409613128389893E-2</v>
      </c>
      <c r="W7" s="281" t="s">
        <v>191</v>
      </c>
      <c r="X7" s="65" t="s">
        <v>131</v>
      </c>
    </row>
    <row r="8" spans="1:24">
      <c r="A8" s="47">
        <v>4</v>
      </c>
      <c r="C8" s="285" t="s">
        <v>2</v>
      </c>
      <c r="D8" s="295"/>
      <c r="E8" s="296"/>
      <c r="F8" s="297"/>
      <c r="G8" s="297"/>
      <c r="H8" s="297"/>
      <c r="I8" s="297"/>
      <c r="J8" s="297"/>
      <c r="K8" s="297"/>
      <c r="L8" s="297"/>
      <c r="M8" s="297"/>
      <c r="N8" s="285"/>
      <c r="O8" s="282">
        <v>3500</v>
      </c>
      <c r="P8" s="282">
        <v>4000</v>
      </c>
      <c r="Q8" s="283">
        <f t="shared" ref="Q8:Q11" si="1">+O8-P8</f>
        <v>-500</v>
      </c>
      <c r="R8" s="284">
        <f t="shared" ref="R8:R12" si="2">IF(P8=0,"NA",(+O8-P8)/P8)</f>
        <v>-0.125</v>
      </c>
      <c r="S8" s="285"/>
      <c r="T8" s="282">
        <v>3525</v>
      </c>
      <c r="U8" s="282">
        <v>4000</v>
      </c>
      <c r="V8" s="284">
        <f t="shared" si="0"/>
        <v>-0.11874999999999999</v>
      </c>
      <c r="W8" s="286"/>
      <c r="X8" s="65"/>
    </row>
    <row r="9" spans="1:24">
      <c r="A9" s="47">
        <v>5</v>
      </c>
      <c r="C9" s="285" t="s">
        <v>3</v>
      </c>
      <c r="D9" s="295"/>
      <c r="E9" s="296"/>
      <c r="F9" s="297"/>
      <c r="G9" s="297"/>
      <c r="H9" s="297"/>
      <c r="I9" s="297"/>
      <c r="J9" s="297"/>
      <c r="K9" s="297"/>
      <c r="L9" s="297"/>
      <c r="M9" s="297"/>
      <c r="N9" s="285"/>
      <c r="O9" s="282">
        <v>1000</v>
      </c>
      <c r="P9" s="282">
        <v>1000</v>
      </c>
      <c r="Q9" s="283">
        <f t="shared" si="1"/>
        <v>0</v>
      </c>
      <c r="R9" s="284">
        <f t="shared" si="2"/>
        <v>0</v>
      </c>
      <c r="S9" s="285"/>
      <c r="T9" s="282">
        <v>254</v>
      </c>
      <c r="U9" s="282">
        <v>1000</v>
      </c>
      <c r="V9" s="284">
        <f t="shared" si="0"/>
        <v>-0.746</v>
      </c>
      <c r="W9" s="286"/>
      <c r="X9" s="65"/>
    </row>
    <row r="10" spans="1:24">
      <c r="A10" s="47">
        <v>6</v>
      </c>
      <c r="C10" s="285" t="s">
        <v>4</v>
      </c>
      <c r="D10" s="295"/>
      <c r="E10" s="296"/>
      <c r="F10" s="297"/>
      <c r="G10" s="297"/>
      <c r="H10" s="297"/>
      <c r="I10" s="297"/>
      <c r="J10" s="297"/>
      <c r="K10" s="297"/>
      <c r="L10" s="297"/>
      <c r="M10" s="297"/>
      <c r="N10" s="285"/>
      <c r="O10" s="282">
        <v>5000</v>
      </c>
      <c r="P10" s="282">
        <v>5000</v>
      </c>
      <c r="Q10" s="283">
        <f t="shared" si="1"/>
        <v>0</v>
      </c>
      <c r="R10" s="284">
        <f t="shared" si="2"/>
        <v>0</v>
      </c>
      <c r="S10" s="285"/>
      <c r="T10" s="282">
        <v>10</v>
      </c>
      <c r="U10" s="282">
        <v>0</v>
      </c>
      <c r="V10" s="284" t="str">
        <f t="shared" si="0"/>
        <v>NA</v>
      </c>
      <c r="W10" s="286"/>
      <c r="X10" s="65"/>
    </row>
    <row r="11" spans="1:24">
      <c r="A11" s="47">
        <v>7</v>
      </c>
      <c r="C11" s="290" t="s">
        <v>5</v>
      </c>
      <c r="D11" s="298"/>
      <c r="E11" s="299"/>
      <c r="F11" s="300"/>
      <c r="G11" s="300"/>
      <c r="H11" s="300"/>
      <c r="I11" s="300"/>
      <c r="J11" s="300"/>
      <c r="K11" s="300"/>
      <c r="L11" s="300"/>
      <c r="M11" s="300"/>
      <c r="N11" s="290"/>
      <c r="O11" s="287">
        <v>2800</v>
      </c>
      <c r="P11" s="287">
        <v>3000</v>
      </c>
      <c r="Q11" s="288">
        <f t="shared" si="1"/>
        <v>-200</v>
      </c>
      <c r="R11" s="289">
        <f t="shared" si="2"/>
        <v>-6.6666666666666666E-2</v>
      </c>
      <c r="S11" s="290"/>
      <c r="T11" s="287">
        <v>2864</v>
      </c>
      <c r="U11" s="287">
        <v>3000</v>
      </c>
      <c r="V11" s="289">
        <f t="shared" si="0"/>
        <v>-4.5333333333333337E-2</v>
      </c>
      <c r="W11" s="291"/>
      <c r="X11" s="65"/>
    </row>
    <row r="12" spans="1:24">
      <c r="A12" s="47">
        <v>8</v>
      </c>
      <c r="B12" s="12" t="s">
        <v>6</v>
      </c>
      <c r="C12" s="12"/>
      <c r="D12" s="12"/>
      <c r="E12" s="92"/>
      <c r="F12" s="92"/>
      <c r="G12" s="92"/>
      <c r="H12" s="92"/>
      <c r="I12" s="92"/>
      <c r="J12" s="92"/>
      <c r="K12" s="92"/>
      <c r="L12" s="92"/>
      <c r="M12" s="92"/>
      <c r="N12" s="12"/>
      <c r="O12" s="12">
        <f>SUM(O7:O11)</f>
        <v>502300</v>
      </c>
      <c r="P12" s="12">
        <f>SUM(P7:P11)</f>
        <v>513000</v>
      </c>
      <c r="Q12" s="12">
        <f>SUM(Q7:Q11)</f>
        <v>-10700</v>
      </c>
      <c r="R12" s="13">
        <f t="shared" si="2"/>
        <v>-2.0857699805068228E-2</v>
      </c>
      <c r="T12" s="12">
        <f>SUM(T7:T11)</f>
        <v>454653.58</v>
      </c>
      <c r="U12" s="12">
        <f>SUM(U7:U11)</f>
        <v>469100.26</v>
      </c>
      <c r="V12" s="13">
        <f t="shared" si="0"/>
        <v>-3.0796572144300226E-2</v>
      </c>
      <c r="W12" s="82"/>
      <c r="X12" s="66"/>
    </row>
    <row r="13" spans="1:24" ht="5.25" customHeight="1">
      <c r="A13" s="47">
        <v>9</v>
      </c>
      <c r="R13" s="7"/>
      <c r="W13" s="82"/>
      <c r="X13" s="66"/>
    </row>
    <row r="14" spans="1:24">
      <c r="A14" s="47">
        <v>10</v>
      </c>
      <c r="B14" s="4" t="s">
        <v>7</v>
      </c>
      <c r="R14" s="7"/>
      <c r="W14" s="82"/>
      <c r="X14" s="66"/>
    </row>
    <row r="15" spans="1:24">
      <c r="A15" s="47">
        <v>11</v>
      </c>
      <c r="C15" s="280" t="s">
        <v>8</v>
      </c>
      <c r="D15" s="292"/>
      <c r="E15" s="293"/>
      <c r="F15" s="294"/>
      <c r="G15" s="294"/>
      <c r="H15" s="294"/>
      <c r="I15" s="294"/>
      <c r="J15" s="294"/>
      <c r="K15" s="294"/>
      <c r="L15" s="294"/>
      <c r="M15" s="294"/>
      <c r="N15" s="280"/>
      <c r="O15" s="277">
        <v>11000</v>
      </c>
      <c r="P15" s="277">
        <v>8500</v>
      </c>
      <c r="Q15" s="278">
        <f t="shared" ref="Q15:Q19" si="3">+O15-P15</f>
        <v>2500</v>
      </c>
      <c r="R15" s="279">
        <f t="shared" ref="R15:R21" si="4">IF(P15=0,"NA",(+O15-P15)/P15)</f>
        <v>0.29411764705882354</v>
      </c>
      <c r="S15" s="280"/>
      <c r="T15" s="277">
        <v>8457.0400000000009</v>
      </c>
      <c r="U15" s="277">
        <v>6640.01</v>
      </c>
      <c r="V15" s="279">
        <f t="shared" ref="V15:V21" si="5">IF(U15=0,"NA",(+T15-U15)/U15)</f>
        <v>0.27364868426402983</v>
      </c>
      <c r="W15" s="281"/>
      <c r="X15" s="65"/>
    </row>
    <row r="16" spans="1:24">
      <c r="A16" s="47">
        <v>12</v>
      </c>
      <c r="C16" s="285" t="s">
        <v>7</v>
      </c>
      <c r="D16" s="295"/>
      <c r="E16" s="296"/>
      <c r="F16" s="297"/>
      <c r="G16" s="297"/>
      <c r="H16" s="297"/>
      <c r="I16" s="297"/>
      <c r="J16" s="297"/>
      <c r="K16" s="297"/>
      <c r="L16" s="297"/>
      <c r="M16" s="297"/>
      <c r="N16" s="285"/>
      <c r="O16" s="282">
        <f t="shared" ref="O16:O19" si="6">+P16</f>
        <v>0</v>
      </c>
      <c r="P16" s="282">
        <v>0</v>
      </c>
      <c r="Q16" s="283">
        <f t="shared" si="3"/>
        <v>0</v>
      </c>
      <c r="R16" s="284" t="str">
        <f t="shared" si="4"/>
        <v>NA</v>
      </c>
      <c r="S16" s="285"/>
      <c r="T16" s="282">
        <v>4771</v>
      </c>
      <c r="U16" s="282">
        <v>0</v>
      </c>
      <c r="V16" s="284" t="str">
        <f t="shared" si="5"/>
        <v>NA</v>
      </c>
      <c r="W16" s="301"/>
      <c r="X16" s="66"/>
    </row>
    <row r="17" spans="1:24">
      <c r="A17" s="47">
        <v>13</v>
      </c>
      <c r="C17" s="285" t="s">
        <v>9</v>
      </c>
      <c r="D17" s="295"/>
      <c r="E17" s="296"/>
      <c r="F17" s="297"/>
      <c r="G17" s="297"/>
      <c r="H17" s="297"/>
      <c r="I17" s="297"/>
      <c r="J17" s="297"/>
      <c r="K17" s="297"/>
      <c r="L17" s="297"/>
      <c r="M17" s="297"/>
      <c r="N17" s="285"/>
      <c r="O17" s="282">
        <f t="shared" si="6"/>
        <v>0</v>
      </c>
      <c r="P17" s="282">
        <v>0</v>
      </c>
      <c r="Q17" s="283">
        <f t="shared" si="3"/>
        <v>0</v>
      </c>
      <c r="R17" s="284" t="str">
        <f t="shared" si="4"/>
        <v>NA</v>
      </c>
      <c r="S17" s="285"/>
      <c r="T17" s="282">
        <v>0</v>
      </c>
      <c r="U17" s="282">
        <v>0</v>
      </c>
      <c r="V17" s="284" t="str">
        <f t="shared" si="5"/>
        <v>NA</v>
      </c>
      <c r="W17" s="301"/>
      <c r="X17" s="66"/>
    </row>
    <row r="18" spans="1:24">
      <c r="A18" s="47">
        <v>14</v>
      </c>
      <c r="C18" s="285" t="s">
        <v>11</v>
      </c>
      <c r="D18" s="295"/>
      <c r="E18" s="296"/>
      <c r="F18" s="297"/>
      <c r="G18" s="297"/>
      <c r="H18" s="297"/>
      <c r="I18" s="297"/>
      <c r="J18" s="297"/>
      <c r="K18" s="297"/>
      <c r="L18" s="297"/>
      <c r="M18" s="297"/>
      <c r="N18" s="285"/>
      <c r="O18" s="282">
        <f t="shared" si="6"/>
        <v>0</v>
      </c>
      <c r="P18" s="282">
        <v>0</v>
      </c>
      <c r="Q18" s="283">
        <f t="shared" si="3"/>
        <v>0</v>
      </c>
      <c r="R18" s="284" t="str">
        <f t="shared" si="4"/>
        <v>NA</v>
      </c>
      <c r="S18" s="285"/>
      <c r="T18" s="282">
        <v>2.83</v>
      </c>
      <c r="U18" s="282">
        <v>0</v>
      </c>
      <c r="V18" s="284" t="str">
        <f t="shared" si="5"/>
        <v>NA</v>
      </c>
      <c r="W18" s="301"/>
      <c r="X18" s="66"/>
    </row>
    <row r="19" spans="1:24">
      <c r="A19" s="47">
        <v>15</v>
      </c>
      <c r="C19" s="290" t="s">
        <v>99</v>
      </c>
      <c r="D19" s="298"/>
      <c r="E19" s="299"/>
      <c r="F19" s="300"/>
      <c r="G19" s="300"/>
      <c r="H19" s="300"/>
      <c r="I19" s="300"/>
      <c r="J19" s="300"/>
      <c r="K19" s="300"/>
      <c r="L19" s="300"/>
      <c r="M19" s="300"/>
      <c r="N19" s="290"/>
      <c r="O19" s="287">
        <f t="shared" si="6"/>
        <v>0</v>
      </c>
      <c r="P19" s="287">
        <v>0</v>
      </c>
      <c r="Q19" s="288">
        <f t="shared" si="3"/>
        <v>0</v>
      </c>
      <c r="R19" s="289" t="str">
        <f t="shared" si="4"/>
        <v>NA</v>
      </c>
      <c r="S19" s="290"/>
      <c r="T19" s="287">
        <v>0</v>
      </c>
      <c r="U19" s="287">
        <v>0</v>
      </c>
      <c r="V19" s="289" t="str">
        <f t="shared" si="5"/>
        <v>NA</v>
      </c>
      <c r="W19" s="302"/>
      <c r="X19" s="66"/>
    </row>
    <row r="20" spans="1:24">
      <c r="A20" s="47">
        <v>16</v>
      </c>
      <c r="B20" s="12" t="s">
        <v>10</v>
      </c>
      <c r="C20" s="12"/>
      <c r="D20" s="12"/>
      <c r="E20" s="92"/>
      <c r="F20" s="92"/>
      <c r="G20" s="92"/>
      <c r="H20" s="92"/>
      <c r="I20" s="92"/>
      <c r="J20" s="92"/>
      <c r="K20" s="92"/>
      <c r="L20" s="92"/>
      <c r="M20" s="92"/>
      <c r="N20" s="12"/>
      <c r="O20" s="12">
        <f>SUM(O15:O19)</f>
        <v>11000</v>
      </c>
      <c r="P20" s="12">
        <f>SUM(P15:P19)</f>
        <v>8500</v>
      </c>
      <c r="Q20" s="12">
        <f>SUM(Q15:Q19)</f>
        <v>2500</v>
      </c>
      <c r="R20" s="13">
        <f t="shared" si="4"/>
        <v>0.29411764705882354</v>
      </c>
      <c r="T20" s="12">
        <f t="shared" ref="T20:U20" si="7">SUM(T15:T19)</f>
        <v>13230.87</v>
      </c>
      <c r="U20" s="12">
        <f t="shared" si="7"/>
        <v>6640.01</v>
      </c>
      <c r="V20" s="13">
        <f t="shared" si="5"/>
        <v>0.99259790271400195</v>
      </c>
      <c r="W20" s="82"/>
      <c r="X20" s="66"/>
    </row>
    <row r="21" spans="1:24">
      <c r="A21" s="47">
        <v>17</v>
      </c>
      <c r="B21" s="12" t="s">
        <v>12</v>
      </c>
      <c r="C21" s="12"/>
      <c r="D21" s="12"/>
      <c r="E21" s="92"/>
      <c r="F21" s="92"/>
      <c r="G21" s="92"/>
      <c r="H21" s="92"/>
      <c r="I21" s="92"/>
      <c r="J21" s="92"/>
      <c r="K21" s="92"/>
      <c r="L21" s="92"/>
      <c r="M21" s="92"/>
      <c r="N21" s="12"/>
      <c r="O21" s="12">
        <f>+O12+O20</f>
        <v>513300</v>
      </c>
      <c r="P21" s="12">
        <f>+P12+P20</f>
        <v>521500</v>
      </c>
      <c r="Q21" s="12">
        <f>+Q12+Q20</f>
        <v>-8200</v>
      </c>
      <c r="R21" s="13">
        <f t="shared" si="4"/>
        <v>-1.5723873441994246E-2</v>
      </c>
      <c r="T21" s="12">
        <f t="shared" ref="T21:U21" si="8">+T12+T20</f>
        <v>467884.45</v>
      </c>
      <c r="U21" s="12">
        <f t="shared" si="8"/>
        <v>475740.27</v>
      </c>
      <c r="V21" s="13">
        <f t="shared" si="5"/>
        <v>-1.6512833777977229E-2</v>
      </c>
      <c r="W21" s="82"/>
      <c r="X21" s="66"/>
    </row>
    <row r="22" spans="1:24" ht="6" customHeight="1">
      <c r="A22" s="47">
        <v>18</v>
      </c>
      <c r="R22" s="7"/>
      <c r="W22" s="82"/>
      <c r="X22" s="66"/>
    </row>
    <row r="23" spans="1:24" ht="18.5">
      <c r="A23" s="47">
        <v>19</v>
      </c>
      <c r="B23" s="9" t="s">
        <v>13</v>
      </c>
      <c r="R23" s="7"/>
      <c r="W23" s="82"/>
      <c r="X23" s="66"/>
    </row>
    <row r="24" spans="1:24" ht="18.5">
      <c r="A24" s="47">
        <v>20</v>
      </c>
      <c r="B24" s="9" t="s">
        <v>96</v>
      </c>
      <c r="R24" s="7"/>
      <c r="W24" s="82"/>
      <c r="X24" s="66"/>
    </row>
    <row r="25" spans="1:24" hidden="1">
      <c r="A25" s="47">
        <v>21</v>
      </c>
      <c r="C25" s="1" t="s">
        <v>14</v>
      </c>
      <c r="O25" s="1">
        <f>+O21</f>
        <v>513300</v>
      </c>
      <c r="P25" s="1">
        <f>+P21</f>
        <v>521500</v>
      </c>
      <c r="Q25" s="40">
        <f t="shared" ref="Q25:Q28" si="9">+O25-P25</f>
        <v>-8200</v>
      </c>
      <c r="R25" s="7"/>
      <c r="W25" s="82"/>
      <c r="X25" s="66"/>
    </row>
    <row r="26" spans="1:24" hidden="1">
      <c r="A26" s="47">
        <v>23</v>
      </c>
      <c r="C26" s="1" t="s">
        <v>15</v>
      </c>
      <c r="O26" s="40">
        <f>-O179</f>
        <v>0</v>
      </c>
      <c r="P26" s="40">
        <f>-P179</f>
        <v>0</v>
      </c>
      <c r="Q26" s="40">
        <f t="shared" si="9"/>
        <v>0</v>
      </c>
      <c r="R26" s="7"/>
      <c r="T26" s="40"/>
      <c r="U26" s="40"/>
      <c r="W26" s="82"/>
      <c r="X26" s="66"/>
    </row>
    <row r="27" spans="1:24" hidden="1">
      <c r="A27" s="47">
        <v>24</v>
      </c>
      <c r="C27" s="1" t="s">
        <v>16</v>
      </c>
      <c r="O27" s="40">
        <f>-O168</f>
        <v>0</v>
      </c>
      <c r="P27" s="40">
        <f>-P168</f>
        <v>0</v>
      </c>
      <c r="Q27" s="40">
        <f t="shared" si="9"/>
        <v>0</v>
      </c>
      <c r="R27" s="7"/>
      <c r="T27" s="40"/>
      <c r="U27" s="40"/>
      <c r="W27" s="82"/>
      <c r="X27" s="66"/>
    </row>
    <row r="28" spans="1:24" hidden="1">
      <c r="A28" s="47">
        <v>25</v>
      </c>
      <c r="C28" s="1" t="s">
        <v>117</v>
      </c>
      <c r="O28" s="1">
        <f>SUM(O25:O27)</f>
        <v>513300</v>
      </c>
      <c r="P28" s="1">
        <f>SUM(P25:P27)</f>
        <v>521500</v>
      </c>
      <c r="Q28" s="40">
        <f t="shared" si="9"/>
        <v>-8200</v>
      </c>
      <c r="R28" s="7"/>
      <c r="W28" s="82"/>
      <c r="X28" s="66"/>
    </row>
    <row r="29" spans="1:24" s="4" customFormat="1">
      <c r="A29" s="47">
        <v>26</v>
      </c>
      <c r="B29" s="14"/>
      <c r="C29" s="15" t="s">
        <v>97</v>
      </c>
      <c r="D29" s="15"/>
      <c r="E29" s="93"/>
      <c r="F29" s="94"/>
      <c r="G29" s="94"/>
      <c r="H29" s="94"/>
      <c r="I29" s="94"/>
      <c r="J29" s="94"/>
      <c r="K29" s="94"/>
      <c r="L29" s="94"/>
      <c r="M29" s="94"/>
      <c r="N29" s="14"/>
      <c r="O29" s="14">
        <f>ROUND(+O28*0.1,0)</f>
        <v>51330</v>
      </c>
      <c r="P29" s="14">
        <f>ROUND(+P28*0.1,0)</f>
        <v>52150</v>
      </c>
      <c r="Q29" s="14">
        <f>ROUND(+Q28*0.1,0)</f>
        <v>-820</v>
      </c>
      <c r="R29" s="16">
        <f>IF(P29=0,"NA",(+O29-P29)/P29)</f>
        <v>-1.5723873441994246E-2</v>
      </c>
      <c r="S29" s="1"/>
      <c r="T29" s="53">
        <v>44416.63</v>
      </c>
      <c r="U29" s="53">
        <v>44920.76</v>
      </c>
      <c r="V29" s="16">
        <f>IF(U29=0,"NA",(+T29-U29)/U29)</f>
        <v>-1.1222650729863089E-2</v>
      </c>
      <c r="W29" s="83"/>
      <c r="X29" s="67"/>
    </row>
    <row r="30" spans="1:24" s="4" customFormat="1" ht="6.75" customHeight="1">
      <c r="A30" s="47">
        <v>27</v>
      </c>
      <c r="B30" s="17"/>
      <c r="C30" s="18"/>
      <c r="D30" s="17"/>
      <c r="E30" s="90"/>
      <c r="F30" s="90"/>
      <c r="G30" s="90"/>
      <c r="H30" s="90"/>
      <c r="I30" s="90"/>
      <c r="J30" s="90"/>
      <c r="K30" s="90"/>
      <c r="L30" s="90"/>
      <c r="M30" s="90"/>
      <c r="N30" s="17"/>
      <c r="O30" s="17"/>
      <c r="P30" s="19"/>
      <c r="Q30" s="17"/>
      <c r="R30" s="20"/>
      <c r="S30" s="1"/>
      <c r="T30" s="17"/>
      <c r="U30" s="17"/>
      <c r="V30" s="20"/>
      <c r="W30" s="84"/>
      <c r="X30" s="68"/>
    </row>
    <row r="31" spans="1:24" s="4" customFormat="1" ht="18.5">
      <c r="A31" s="47">
        <v>28</v>
      </c>
      <c r="B31" s="21" t="s">
        <v>66</v>
      </c>
      <c r="C31" s="18"/>
      <c r="D31" s="17"/>
      <c r="E31" s="90"/>
      <c r="F31" s="90"/>
      <c r="G31" s="90"/>
      <c r="H31" s="90"/>
      <c r="I31" s="90"/>
      <c r="J31" s="90"/>
      <c r="K31" s="90"/>
      <c r="L31" s="90"/>
      <c r="M31" s="90"/>
      <c r="N31" s="17"/>
      <c r="O31" s="17"/>
      <c r="P31" s="19"/>
      <c r="Q31" s="17"/>
      <c r="R31" s="20"/>
      <c r="S31" s="1"/>
      <c r="T31" s="17"/>
      <c r="U31" s="17"/>
      <c r="V31" s="20"/>
      <c r="W31" s="84"/>
      <c r="X31" s="68"/>
    </row>
    <row r="32" spans="1:24">
      <c r="A32" s="47">
        <v>29</v>
      </c>
      <c r="B32" s="4" t="s">
        <v>17</v>
      </c>
      <c r="R32" s="7"/>
      <c r="W32" s="82"/>
      <c r="X32" s="66"/>
    </row>
    <row r="33" spans="1:24" ht="29">
      <c r="A33" s="47">
        <v>30</v>
      </c>
      <c r="C33" s="280" t="s">
        <v>88</v>
      </c>
      <c r="D33" s="292"/>
      <c r="E33" s="293"/>
      <c r="F33" s="294"/>
      <c r="G33" s="294"/>
      <c r="H33" s="294"/>
      <c r="I33" s="294"/>
      <c r="J33" s="294"/>
      <c r="K33" s="294"/>
      <c r="L33" s="294"/>
      <c r="M33" s="294"/>
      <c r="N33" s="280"/>
      <c r="O33" s="277">
        <v>2000</v>
      </c>
      <c r="P33" s="277">
        <v>2000</v>
      </c>
      <c r="Q33" s="278">
        <f t="shared" ref="Q33:Q39" si="10">+O33-P33</f>
        <v>0</v>
      </c>
      <c r="R33" s="279">
        <f t="shared" ref="R33:R40" si="11">IF(P33=0,"NA",(+O33-P33)/P33)</f>
        <v>0</v>
      </c>
      <c r="S33" s="280"/>
      <c r="T33" s="277">
        <v>990.46</v>
      </c>
      <c r="U33" s="277">
        <v>1833.37</v>
      </c>
      <c r="V33" s="279">
        <f t="shared" ref="V33:V40" si="12">IF(U33=0,"NA",(+T33-U33)/U33)</f>
        <v>-0.45975989571117665</v>
      </c>
      <c r="W33" s="281" t="s">
        <v>230</v>
      </c>
      <c r="X33" s="65" t="s">
        <v>133</v>
      </c>
    </row>
    <row r="34" spans="1:24" ht="43.5">
      <c r="A34" s="47">
        <v>31</v>
      </c>
      <c r="C34" s="285" t="s">
        <v>18</v>
      </c>
      <c r="D34" s="295"/>
      <c r="E34" s="296"/>
      <c r="F34" s="297"/>
      <c r="G34" s="297"/>
      <c r="H34" s="297"/>
      <c r="I34" s="297"/>
      <c r="J34" s="297"/>
      <c r="K34" s="297"/>
      <c r="L34" s="297"/>
      <c r="M34" s="297"/>
      <c r="N34" s="285"/>
      <c r="O34" s="282">
        <v>1000</v>
      </c>
      <c r="P34" s="282">
        <v>1000</v>
      </c>
      <c r="Q34" s="283">
        <f t="shared" si="10"/>
        <v>0</v>
      </c>
      <c r="R34" s="284">
        <f t="shared" si="11"/>
        <v>0</v>
      </c>
      <c r="S34" s="285"/>
      <c r="T34" s="282">
        <v>548.65</v>
      </c>
      <c r="U34" s="282">
        <v>916.63</v>
      </c>
      <c r="V34" s="284">
        <f t="shared" si="12"/>
        <v>-0.40144878522413624</v>
      </c>
      <c r="W34" s="286" t="s">
        <v>238</v>
      </c>
      <c r="X34" s="69" t="s">
        <v>134</v>
      </c>
    </row>
    <row r="35" spans="1:24" ht="58">
      <c r="A35" s="47">
        <v>32</v>
      </c>
      <c r="C35" s="285" t="s">
        <v>239</v>
      </c>
      <c r="D35" s="295"/>
      <c r="E35" s="296"/>
      <c r="F35" s="297"/>
      <c r="G35" s="297"/>
      <c r="H35" s="297"/>
      <c r="I35" s="297"/>
      <c r="J35" s="297"/>
      <c r="K35" s="297"/>
      <c r="L35" s="297"/>
      <c r="M35" s="297"/>
      <c r="N35" s="285"/>
      <c r="O35" s="282">
        <v>1000</v>
      </c>
      <c r="P35" s="282">
        <v>500</v>
      </c>
      <c r="Q35" s="283">
        <f t="shared" si="10"/>
        <v>500</v>
      </c>
      <c r="R35" s="284">
        <f t="shared" si="11"/>
        <v>1</v>
      </c>
      <c r="S35" s="285"/>
      <c r="T35" s="282">
        <v>0</v>
      </c>
      <c r="U35" s="282">
        <v>500</v>
      </c>
      <c r="V35" s="284">
        <f t="shared" si="12"/>
        <v>-1</v>
      </c>
      <c r="W35" s="286" t="s">
        <v>272</v>
      </c>
      <c r="X35" s="69" t="s">
        <v>135</v>
      </c>
    </row>
    <row r="36" spans="1:24" ht="32" customHeight="1">
      <c r="A36" s="47">
        <v>33</v>
      </c>
      <c r="C36" s="285" t="s">
        <v>19</v>
      </c>
      <c r="D36" s="295"/>
      <c r="E36" s="296"/>
      <c r="F36" s="297"/>
      <c r="G36" s="297"/>
      <c r="H36" s="297"/>
      <c r="I36" s="297"/>
      <c r="J36" s="297"/>
      <c r="K36" s="297"/>
      <c r="L36" s="297"/>
      <c r="M36" s="297"/>
      <c r="N36" s="285"/>
      <c r="O36" s="282">
        <v>300</v>
      </c>
      <c r="P36" s="282">
        <v>200</v>
      </c>
      <c r="Q36" s="283">
        <f t="shared" si="10"/>
        <v>100</v>
      </c>
      <c r="R36" s="284">
        <f t="shared" si="11"/>
        <v>0.5</v>
      </c>
      <c r="S36" s="285"/>
      <c r="T36" s="282">
        <v>197.8</v>
      </c>
      <c r="U36" s="282">
        <v>183.37</v>
      </c>
      <c r="V36" s="284">
        <f t="shared" si="12"/>
        <v>7.869335223864321E-2</v>
      </c>
      <c r="W36" s="286" t="s">
        <v>231</v>
      </c>
      <c r="X36" s="65" t="s">
        <v>136</v>
      </c>
    </row>
    <row r="37" spans="1:24" ht="14.5" customHeight="1">
      <c r="A37" s="47">
        <v>34</v>
      </c>
      <c r="C37" s="285" t="s">
        <v>20</v>
      </c>
      <c r="D37" s="295"/>
      <c r="E37" s="296"/>
      <c r="F37" s="297"/>
      <c r="G37" s="297"/>
      <c r="H37" s="297"/>
      <c r="I37" s="297"/>
      <c r="J37" s="297"/>
      <c r="K37" s="297"/>
      <c r="L37" s="297"/>
      <c r="M37" s="297"/>
      <c r="N37" s="285"/>
      <c r="O37" s="282">
        <v>200</v>
      </c>
      <c r="P37" s="282">
        <v>200</v>
      </c>
      <c r="Q37" s="283">
        <f t="shared" si="10"/>
        <v>0</v>
      </c>
      <c r="R37" s="284">
        <f t="shared" si="11"/>
        <v>0</v>
      </c>
      <c r="S37" s="285"/>
      <c r="T37" s="282">
        <v>63.83</v>
      </c>
      <c r="U37" s="282">
        <v>200</v>
      </c>
      <c r="V37" s="284">
        <f t="shared" si="12"/>
        <v>-0.68085000000000007</v>
      </c>
      <c r="W37" s="286" t="s">
        <v>232</v>
      </c>
      <c r="X37" s="69" t="s">
        <v>137</v>
      </c>
    </row>
    <row r="38" spans="1:24">
      <c r="C38" s="285" t="s">
        <v>114</v>
      </c>
      <c r="D38" s="295"/>
      <c r="E38" s="296"/>
      <c r="F38" s="297"/>
      <c r="G38" s="297"/>
      <c r="H38" s="297"/>
      <c r="I38" s="297"/>
      <c r="J38" s="297"/>
      <c r="K38" s="297"/>
      <c r="L38" s="297"/>
      <c r="M38" s="297"/>
      <c r="N38" s="285"/>
      <c r="O38" s="282">
        <v>750</v>
      </c>
      <c r="P38" s="282">
        <v>750</v>
      </c>
      <c r="Q38" s="283">
        <f t="shared" si="10"/>
        <v>0</v>
      </c>
      <c r="R38" s="284">
        <f t="shared" ref="R38" si="13">IF(P38=0,"NA",(+O38-P38)/P38)</f>
        <v>0</v>
      </c>
      <c r="S38" s="285"/>
      <c r="T38" s="282">
        <v>71.900000000000006</v>
      </c>
      <c r="U38" s="282">
        <v>687.5</v>
      </c>
      <c r="V38" s="284">
        <f t="shared" ref="V38" si="14">IF(U38=0,"NA",(+T38-U38)/U38)</f>
        <v>-0.89541818181818189</v>
      </c>
      <c r="W38" s="286" t="s">
        <v>234</v>
      </c>
      <c r="X38" s="69" t="s">
        <v>138</v>
      </c>
    </row>
    <row r="39" spans="1:24" ht="14.4" customHeight="1">
      <c r="A39" s="47">
        <v>35</v>
      </c>
      <c r="C39" s="290" t="s">
        <v>92</v>
      </c>
      <c r="D39" s="298"/>
      <c r="E39" s="299"/>
      <c r="F39" s="300"/>
      <c r="G39" s="300"/>
      <c r="H39" s="300"/>
      <c r="I39" s="300"/>
      <c r="J39" s="300"/>
      <c r="K39" s="300"/>
      <c r="L39" s="300"/>
      <c r="M39" s="300"/>
      <c r="N39" s="290"/>
      <c r="O39" s="287">
        <v>200</v>
      </c>
      <c r="P39" s="287">
        <v>200</v>
      </c>
      <c r="Q39" s="288">
        <f t="shared" si="10"/>
        <v>0</v>
      </c>
      <c r="R39" s="289">
        <f t="shared" si="11"/>
        <v>0</v>
      </c>
      <c r="S39" s="290"/>
      <c r="T39" s="287">
        <v>390.02</v>
      </c>
      <c r="U39" s="287">
        <v>200</v>
      </c>
      <c r="V39" s="289">
        <f t="shared" si="12"/>
        <v>0.95009999999999994</v>
      </c>
      <c r="W39" s="291" t="s">
        <v>233</v>
      </c>
      <c r="X39" s="69" t="s">
        <v>139</v>
      </c>
    </row>
    <row r="40" spans="1:24" s="4" customFormat="1">
      <c r="A40" s="47">
        <v>36</v>
      </c>
      <c r="B40" s="22" t="s">
        <v>21</v>
      </c>
      <c r="C40" s="22"/>
      <c r="D40" s="39"/>
      <c r="E40" s="95"/>
      <c r="F40" s="95"/>
      <c r="G40" s="95"/>
      <c r="H40" s="95"/>
      <c r="I40" s="95"/>
      <c r="J40" s="95"/>
      <c r="K40" s="95"/>
      <c r="L40" s="95"/>
      <c r="M40" s="95"/>
      <c r="N40" s="39"/>
      <c r="O40" s="22">
        <f>SUM(O33:O39)</f>
        <v>5450</v>
      </c>
      <c r="P40" s="39">
        <f>SUM(P33:P39)</f>
        <v>4850</v>
      </c>
      <c r="Q40" s="39">
        <f>SUM(Q33:Q39)</f>
        <v>600</v>
      </c>
      <c r="R40" s="23">
        <f t="shared" si="11"/>
        <v>0.12371134020618557</v>
      </c>
      <c r="T40" s="39">
        <f t="shared" ref="T40:U40" si="15">SUM(T33:T39)</f>
        <v>2262.66</v>
      </c>
      <c r="U40" s="39">
        <f t="shared" si="15"/>
        <v>4520.87</v>
      </c>
      <c r="V40" s="23">
        <f t="shared" si="12"/>
        <v>-0.49950783809311039</v>
      </c>
      <c r="W40" s="84"/>
      <c r="X40" s="68"/>
    </row>
    <row r="41" spans="1:24" ht="6" customHeight="1">
      <c r="A41" s="47">
        <v>37</v>
      </c>
      <c r="R41" s="7"/>
      <c r="W41" s="82"/>
      <c r="X41" s="66"/>
    </row>
    <row r="42" spans="1:24">
      <c r="A42" s="47">
        <v>40</v>
      </c>
      <c r="B42" s="4" t="s">
        <v>168</v>
      </c>
      <c r="R42" s="7"/>
      <c r="W42" s="82"/>
      <c r="X42" s="66"/>
    </row>
    <row r="43" spans="1:24" ht="27.5" customHeight="1">
      <c r="A43" s="47">
        <v>41</v>
      </c>
      <c r="C43" s="280" t="s">
        <v>22</v>
      </c>
      <c r="D43" s="292"/>
      <c r="E43" s="293"/>
      <c r="F43" s="294"/>
      <c r="G43" s="294"/>
      <c r="H43" s="294"/>
      <c r="I43" s="294"/>
      <c r="J43" s="294"/>
      <c r="K43" s="294"/>
      <c r="L43" s="294"/>
      <c r="M43" s="294"/>
      <c r="N43" s="280"/>
      <c r="O43" s="305">
        <f>5000-1000</f>
        <v>4000</v>
      </c>
      <c r="P43" s="277">
        <v>5000</v>
      </c>
      <c r="Q43" s="278">
        <f t="shared" ref="Q43:Q46" si="16">+O43-P43</f>
        <v>-1000</v>
      </c>
      <c r="R43" s="279">
        <f t="shared" ref="R43:R47" si="17">IF(P43=0,"NA",(+O43-P43)/P43)</f>
        <v>-0.2</v>
      </c>
      <c r="S43" s="280"/>
      <c r="T43" s="277">
        <v>4017.16</v>
      </c>
      <c r="U43" s="277">
        <v>4583.37</v>
      </c>
      <c r="V43" s="279">
        <f>IF(U43=0,"NA",(+T43-U43)/U43)</f>
        <v>-0.12353573898681539</v>
      </c>
      <c r="W43" s="281" t="s">
        <v>397</v>
      </c>
      <c r="X43" s="69" t="s">
        <v>160</v>
      </c>
    </row>
    <row r="44" spans="1:24">
      <c r="C44" s="285" t="s">
        <v>174</v>
      </c>
      <c r="D44" s="295"/>
      <c r="E44" s="296"/>
      <c r="F44" s="297"/>
      <c r="G44" s="297"/>
      <c r="H44" s="297"/>
      <c r="I44" s="297"/>
      <c r="J44" s="297"/>
      <c r="K44" s="297"/>
      <c r="L44" s="297"/>
      <c r="M44" s="297"/>
      <c r="N44" s="285"/>
      <c r="O44" s="282">
        <v>0</v>
      </c>
      <c r="P44" s="282">
        <v>0</v>
      </c>
      <c r="Q44" s="283">
        <f t="shared" ref="Q44" si="18">+O44-P44</f>
        <v>0</v>
      </c>
      <c r="R44" s="284" t="str">
        <f t="shared" ref="R44" si="19">IF(P44=0,"NA",(+O44-P44)/P44)</f>
        <v>NA</v>
      </c>
      <c r="S44" s="285"/>
      <c r="T44" s="282">
        <v>0</v>
      </c>
      <c r="U44" s="282">
        <v>0</v>
      </c>
      <c r="V44" s="284" t="str">
        <f>IF(U44=0,"NA",(+T44-U44)/U44)</f>
        <v>NA</v>
      </c>
      <c r="W44" s="286" t="s">
        <v>175</v>
      </c>
      <c r="X44" s="69"/>
    </row>
    <row r="45" spans="1:24">
      <c r="A45" s="47">
        <v>43</v>
      </c>
      <c r="C45" s="285" t="s">
        <v>23</v>
      </c>
      <c r="D45" s="295"/>
      <c r="E45" s="296"/>
      <c r="F45" s="297"/>
      <c r="G45" s="297"/>
      <c r="H45" s="297"/>
      <c r="I45" s="297"/>
      <c r="J45" s="297"/>
      <c r="K45" s="297"/>
      <c r="L45" s="297"/>
      <c r="M45" s="297"/>
      <c r="N45" s="285"/>
      <c r="O45" s="282">
        <v>100</v>
      </c>
      <c r="P45" s="282">
        <v>100</v>
      </c>
      <c r="Q45" s="283">
        <f t="shared" si="16"/>
        <v>0</v>
      </c>
      <c r="R45" s="284">
        <f t="shared" si="17"/>
        <v>0</v>
      </c>
      <c r="S45" s="285"/>
      <c r="T45" s="282">
        <v>89.1</v>
      </c>
      <c r="U45" s="282">
        <v>91.63</v>
      </c>
      <c r="V45" s="284">
        <f>IF(U45=0,"NA",(+T45-U45)/U45)</f>
        <v>-2.7611044417767121E-2</v>
      </c>
      <c r="W45" s="286" t="s">
        <v>175</v>
      </c>
      <c r="X45" s="65" t="s">
        <v>159</v>
      </c>
    </row>
    <row r="46" spans="1:24">
      <c r="A46" s="47">
        <v>44</v>
      </c>
      <c r="C46" s="290" t="s">
        <v>24</v>
      </c>
      <c r="D46" s="298"/>
      <c r="E46" s="299"/>
      <c r="F46" s="300"/>
      <c r="G46" s="300"/>
      <c r="H46" s="300"/>
      <c r="I46" s="300"/>
      <c r="J46" s="300"/>
      <c r="K46" s="300"/>
      <c r="L46" s="300"/>
      <c r="M46" s="300"/>
      <c r="N46" s="290"/>
      <c r="O46" s="287">
        <v>200</v>
      </c>
      <c r="P46" s="287">
        <v>200</v>
      </c>
      <c r="Q46" s="288">
        <f t="shared" si="16"/>
        <v>0</v>
      </c>
      <c r="R46" s="289">
        <f t="shared" si="17"/>
        <v>0</v>
      </c>
      <c r="S46" s="290"/>
      <c r="T46" s="287">
        <v>-42</v>
      </c>
      <c r="U46" s="287">
        <v>183.37</v>
      </c>
      <c r="V46" s="289">
        <f>IF(U46=0,"NA",(+T46-U46)/U46)</f>
        <v>-1.2290451000708948</v>
      </c>
      <c r="W46" s="291" t="s">
        <v>175</v>
      </c>
      <c r="X46" s="66"/>
    </row>
    <row r="47" spans="1:24" s="4" customFormat="1">
      <c r="A47" s="47">
        <v>45</v>
      </c>
      <c r="B47" s="22" t="s">
        <v>169</v>
      </c>
      <c r="C47" s="22"/>
      <c r="D47" s="39"/>
      <c r="E47" s="95"/>
      <c r="F47" s="95"/>
      <c r="G47" s="95"/>
      <c r="H47" s="95"/>
      <c r="I47" s="95"/>
      <c r="J47" s="95"/>
      <c r="K47" s="95"/>
      <c r="L47" s="95"/>
      <c r="M47" s="95"/>
      <c r="N47" s="39"/>
      <c r="O47" s="22">
        <f>SUM(O43:O46)</f>
        <v>4300</v>
      </c>
      <c r="P47" s="39">
        <f>SUM(P43:P46)</f>
        <v>5300</v>
      </c>
      <c r="Q47" s="39">
        <f>SUM(Q43:Q46)</f>
        <v>-1000</v>
      </c>
      <c r="R47" s="23">
        <f t="shared" si="17"/>
        <v>-0.18867924528301888</v>
      </c>
      <c r="T47" s="39">
        <f>SUM(T43:T46)</f>
        <v>4064.26</v>
      </c>
      <c r="U47" s="39">
        <f>SUM(U43:U46)</f>
        <v>4858.37</v>
      </c>
      <c r="V47" s="23">
        <f>IF(U47=0,"NA",(+T47-U47)/U47)</f>
        <v>-0.16345193964230795</v>
      </c>
      <c r="W47" s="82"/>
      <c r="X47" s="66"/>
    </row>
    <row r="48" spans="1:24" ht="6.75" customHeight="1">
      <c r="A48" s="47">
        <v>46</v>
      </c>
      <c r="D48" s="1"/>
      <c r="E48" s="42"/>
      <c r="R48" s="7"/>
      <c r="W48" s="82"/>
      <c r="X48" s="66"/>
    </row>
    <row r="49" spans="1:24" s="4" customFormat="1" ht="43.5">
      <c r="A49" s="47">
        <v>51</v>
      </c>
      <c r="B49" s="22" t="s">
        <v>25</v>
      </c>
      <c r="C49" s="22"/>
      <c r="D49" s="39"/>
      <c r="E49" s="95"/>
      <c r="F49" s="95"/>
      <c r="G49" s="95"/>
      <c r="H49" s="95"/>
      <c r="I49" s="95"/>
      <c r="J49" s="95"/>
      <c r="K49" s="95"/>
      <c r="L49" s="95"/>
      <c r="M49" s="95"/>
      <c r="N49" s="39"/>
      <c r="O49" s="55">
        <v>12800</v>
      </c>
      <c r="P49" s="55">
        <v>12800</v>
      </c>
      <c r="Q49" s="49">
        <f t="shared" ref="Q49" si="20">+O49-P49</f>
        <v>0</v>
      </c>
      <c r="R49" s="23">
        <f t="shared" ref="R49" si="21">IF(P49=0,"NA",(+O49-P49)/P49)</f>
        <v>0</v>
      </c>
      <c r="T49" s="55">
        <v>7592.82</v>
      </c>
      <c r="U49" s="55">
        <v>12420</v>
      </c>
      <c r="V49" s="23">
        <f>IF(U49=0,"NA",(+T49-U49)/U49)</f>
        <v>-0.38866183574879232</v>
      </c>
      <c r="W49" s="69" t="s">
        <v>235</v>
      </c>
      <c r="X49" s="65"/>
    </row>
    <row r="50" spans="1:24" ht="6.75" customHeight="1">
      <c r="A50" s="47">
        <v>52</v>
      </c>
      <c r="R50" s="7"/>
      <c r="W50" s="82"/>
      <c r="X50" s="66"/>
    </row>
    <row r="51" spans="1:24">
      <c r="A51" s="47">
        <v>53</v>
      </c>
      <c r="B51" s="4" t="s">
        <v>98</v>
      </c>
      <c r="R51" s="7"/>
      <c r="W51" s="82"/>
      <c r="X51" s="66"/>
    </row>
    <row r="52" spans="1:24">
      <c r="A52" s="47">
        <v>54</v>
      </c>
      <c r="C52" s="280" t="s">
        <v>100</v>
      </c>
      <c r="D52" s="292"/>
      <c r="E52" s="293"/>
      <c r="F52" s="294"/>
      <c r="G52" s="294"/>
      <c r="H52" s="294"/>
      <c r="I52" s="294"/>
      <c r="J52" s="294"/>
      <c r="K52" s="294"/>
      <c r="L52" s="294"/>
      <c r="M52" s="294"/>
      <c r="N52" s="280"/>
      <c r="O52" s="277">
        <v>400</v>
      </c>
      <c r="P52" s="277">
        <v>400</v>
      </c>
      <c r="Q52" s="278">
        <f t="shared" ref="Q52:Q53" si="22">+O52-P52</f>
        <v>0</v>
      </c>
      <c r="R52" s="279">
        <f t="shared" ref="R52:R54" si="23">IF(P52=0,"NA",(+O52-P52)/P52)</f>
        <v>0</v>
      </c>
      <c r="S52" s="280"/>
      <c r="T52" s="277">
        <v>385.82</v>
      </c>
      <c r="U52" s="277">
        <v>366.63</v>
      </c>
      <c r="V52" s="279">
        <f>IF(U52=0,"NA",(+T52-U52)/U52)</f>
        <v>5.2341597796143245E-2</v>
      </c>
      <c r="W52" s="281" t="s">
        <v>273</v>
      </c>
      <c r="X52" s="65"/>
    </row>
    <row r="53" spans="1:24">
      <c r="A53" s="47">
        <v>55</v>
      </c>
      <c r="C53" s="290" t="s">
        <v>95</v>
      </c>
      <c r="D53" s="298"/>
      <c r="E53" s="299"/>
      <c r="F53" s="300"/>
      <c r="G53" s="300"/>
      <c r="H53" s="300"/>
      <c r="I53" s="300"/>
      <c r="J53" s="300"/>
      <c r="K53" s="300"/>
      <c r="L53" s="300"/>
      <c r="M53" s="300"/>
      <c r="N53" s="290"/>
      <c r="O53" s="287">
        <v>150</v>
      </c>
      <c r="P53" s="287">
        <v>150</v>
      </c>
      <c r="Q53" s="288">
        <f t="shared" si="22"/>
        <v>0</v>
      </c>
      <c r="R53" s="289">
        <f t="shared" si="23"/>
        <v>0</v>
      </c>
      <c r="S53" s="290"/>
      <c r="T53" s="287">
        <v>77.63</v>
      </c>
      <c r="U53" s="287">
        <v>137.5</v>
      </c>
      <c r="V53" s="289">
        <f>IF(U53=0,"NA",(+T53-U53)/U53)</f>
        <v>-0.43541818181818187</v>
      </c>
      <c r="W53" s="291" t="s">
        <v>273</v>
      </c>
      <c r="X53" s="65"/>
    </row>
    <row r="54" spans="1:24" s="4" customFormat="1" ht="29">
      <c r="A54" s="47">
        <v>56</v>
      </c>
      <c r="B54" s="22" t="s">
        <v>94</v>
      </c>
      <c r="C54" s="22"/>
      <c r="D54" s="39"/>
      <c r="E54" s="95"/>
      <c r="F54" s="95"/>
      <c r="G54" s="95"/>
      <c r="H54" s="95"/>
      <c r="I54" s="95"/>
      <c r="J54" s="95"/>
      <c r="K54" s="95"/>
      <c r="L54" s="95"/>
      <c r="M54" s="95"/>
      <c r="N54" s="39"/>
      <c r="O54" s="22">
        <f>SUM(O52:O53)</f>
        <v>550</v>
      </c>
      <c r="P54" s="39">
        <f>SUM(P52:P53)</f>
        <v>550</v>
      </c>
      <c r="Q54" s="39">
        <f>SUM(Q52:Q53)</f>
        <v>0</v>
      </c>
      <c r="R54" s="23">
        <f t="shared" si="23"/>
        <v>0</v>
      </c>
      <c r="T54" s="39">
        <f>SUM(T52:T53)</f>
        <v>463.45</v>
      </c>
      <c r="U54" s="39">
        <f>SUM(U52:U53)</f>
        <v>504.13</v>
      </c>
      <c r="V54" s="23">
        <f>IF(U54=0,"NA",(+T54-U54)/U54)</f>
        <v>-8.0693471921924914E-2</v>
      </c>
      <c r="W54" s="84" t="s">
        <v>308</v>
      </c>
      <c r="X54" s="68"/>
    </row>
    <row r="55" spans="1:24" ht="5.25" customHeight="1">
      <c r="A55" s="47">
        <v>57</v>
      </c>
      <c r="R55" s="7"/>
      <c r="W55" s="82"/>
      <c r="X55" s="66"/>
    </row>
    <row r="56" spans="1:24" ht="43.5">
      <c r="A56" s="47">
        <v>58</v>
      </c>
      <c r="B56" s="22" t="s">
        <v>26</v>
      </c>
      <c r="C56" s="24"/>
      <c r="D56" s="24"/>
      <c r="E56" s="96"/>
      <c r="F56" s="96"/>
      <c r="G56" s="96"/>
      <c r="H56" s="96"/>
      <c r="I56" s="96"/>
      <c r="J56" s="96"/>
      <c r="K56" s="96"/>
      <c r="L56" s="96"/>
      <c r="M56" s="96"/>
      <c r="N56" s="24"/>
      <c r="O56" s="60">
        <v>200</v>
      </c>
      <c r="P56" s="60">
        <v>200</v>
      </c>
      <c r="Q56" s="49">
        <f t="shared" ref="Q56" si="24">+O56-P56</f>
        <v>0</v>
      </c>
      <c r="R56" s="23">
        <f>IF(P56=0,"NA",(+O56-P56)/P56)</f>
        <v>0</v>
      </c>
      <c r="T56" s="60">
        <v>250</v>
      </c>
      <c r="U56" s="60">
        <v>200</v>
      </c>
      <c r="V56" s="23">
        <f>IF(U56=0,"NA",(+T56-U56)/U56)</f>
        <v>0.25</v>
      </c>
      <c r="W56" s="69" t="s">
        <v>240</v>
      </c>
      <c r="X56" s="65" t="s">
        <v>127</v>
      </c>
    </row>
    <row r="57" spans="1:24" ht="6" customHeight="1">
      <c r="A57" s="47">
        <v>59</v>
      </c>
      <c r="R57" s="7"/>
      <c r="W57" s="82"/>
      <c r="X57" s="66"/>
    </row>
    <row r="58" spans="1:24">
      <c r="A58" s="47">
        <v>60</v>
      </c>
      <c r="B58" s="4" t="s">
        <v>27</v>
      </c>
      <c r="R58" s="7"/>
      <c r="W58" s="82"/>
      <c r="X58" s="66"/>
    </row>
    <row r="59" spans="1:24">
      <c r="A59" s="47">
        <v>61</v>
      </c>
      <c r="C59" s="280" t="s">
        <v>28</v>
      </c>
      <c r="D59" s="292"/>
      <c r="E59" s="293"/>
      <c r="F59" s="294"/>
      <c r="G59" s="294"/>
      <c r="H59" s="294"/>
      <c r="I59" s="294"/>
      <c r="J59" s="294"/>
      <c r="K59" s="294"/>
      <c r="L59" s="294"/>
      <c r="M59" s="294"/>
      <c r="N59" s="280"/>
      <c r="O59" s="305">
        <v>200</v>
      </c>
      <c r="P59" s="277">
        <v>200</v>
      </c>
      <c r="Q59" s="278">
        <f t="shared" ref="Q59:Q65" si="25">+O59-P59</f>
        <v>0</v>
      </c>
      <c r="R59" s="279">
        <f t="shared" ref="R59:R66" si="26">IF(P59=0,"NA",(+O59-P59)/P59)</f>
        <v>0</v>
      </c>
      <c r="S59" s="280"/>
      <c r="T59" s="277">
        <v>0</v>
      </c>
      <c r="U59" s="277">
        <v>200</v>
      </c>
      <c r="V59" s="279">
        <f t="shared" ref="V59:V66" si="27">IF(U59=0,"NA",(+T59-U59)/U59)</f>
        <v>-1</v>
      </c>
      <c r="W59" s="281" t="s">
        <v>273</v>
      </c>
      <c r="X59" s="66"/>
    </row>
    <row r="60" spans="1:24" ht="15.5">
      <c r="A60" s="47">
        <v>62</v>
      </c>
      <c r="C60" s="285" t="s">
        <v>29</v>
      </c>
      <c r="D60" s="295"/>
      <c r="E60" s="296"/>
      <c r="F60" s="297"/>
      <c r="G60" s="297"/>
      <c r="H60" s="297"/>
      <c r="I60" s="297"/>
      <c r="J60" s="297"/>
      <c r="K60" s="297"/>
      <c r="L60" s="297"/>
      <c r="M60" s="297"/>
      <c r="N60" s="285"/>
      <c r="O60" s="303">
        <v>800</v>
      </c>
      <c r="P60" s="282">
        <v>800</v>
      </c>
      <c r="Q60" s="283">
        <f t="shared" si="25"/>
        <v>0</v>
      </c>
      <c r="R60" s="284">
        <f t="shared" si="26"/>
        <v>0</v>
      </c>
      <c r="S60" s="285"/>
      <c r="T60" s="282">
        <v>779</v>
      </c>
      <c r="U60" s="282">
        <v>800</v>
      </c>
      <c r="V60" s="284">
        <f t="shared" si="27"/>
        <v>-2.6249999999999999E-2</v>
      </c>
      <c r="W60" s="286"/>
      <c r="X60" s="70" t="s">
        <v>125</v>
      </c>
    </row>
    <row r="61" spans="1:24" ht="29">
      <c r="A61" s="47">
        <v>63</v>
      </c>
      <c r="C61" s="285" t="s">
        <v>30</v>
      </c>
      <c r="D61" s="295"/>
      <c r="E61" s="296"/>
      <c r="F61" s="297"/>
      <c r="G61" s="297"/>
      <c r="H61" s="297"/>
      <c r="I61" s="297"/>
      <c r="J61" s="297"/>
      <c r="K61" s="297"/>
      <c r="L61" s="297"/>
      <c r="M61" s="297"/>
      <c r="N61" s="285"/>
      <c r="O61" s="303">
        <v>1000</v>
      </c>
      <c r="P61" s="303">
        <v>1500</v>
      </c>
      <c r="Q61" s="283">
        <f t="shared" si="25"/>
        <v>-500</v>
      </c>
      <c r="R61" s="284">
        <f t="shared" si="26"/>
        <v>-0.33333333333333331</v>
      </c>
      <c r="S61" s="285"/>
      <c r="T61" s="282">
        <v>918.16</v>
      </c>
      <c r="U61" s="282">
        <v>1500</v>
      </c>
      <c r="V61" s="284">
        <f t="shared" si="27"/>
        <v>-0.38789333333333337</v>
      </c>
      <c r="W61" s="286" t="s">
        <v>241</v>
      </c>
      <c r="X61" s="71"/>
    </row>
    <row r="62" spans="1:24">
      <c r="A62" s="47">
        <v>64</v>
      </c>
      <c r="C62" s="285" t="s">
        <v>31</v>
      </c>
      <c r="D62" s="295"/>
      <c r="E62" s="296"/>
      <c r="F62" s="297"/>
      <c r="G62" s="297"/>
      <c r="H62" s="297"/>
      <c r="I62" s="297"/>
      <c r="J62" s="297"/>
      <c r="K62" s="297"/>
      <c r="L62" s="297"/>
      <c r="M62" s="297"/>
      <c r="N62" s="285"/>
      <c r="O62" s="303">
        <v>3000</v>
      </c>
      <c r="P62" s="303">
        <v>3000</v>
      </c>
      <c r="Q62" s="283">
        <f t="shared" si="25"/>
        <v>0</v>
      </c>
      <c r="R62" s="284">
        <f t="shared" si="26"/>
        <v>0</v>
      </c>
      <c r="S62" s="285"/>
      <c r="T62" s="282">
        <v>1728.11</v>
      </c>
      <c r="U62" s="282">
        <v>2750</v>
      </c>
      <c r="V62" s="284">
        <f t="shared" si="27"/>
        <v>-0.37159636363636367</v>
      </c>
      <c r="W62" s="286" t="s">
        <v>242</v>
      </c>
      <c r="X62" s="69"/>
    </row>
    <row r="63" spans="1:24">
      <c r="C63" s="285" t="s">
        <v>118</v>
      </c>
      <c r="D63" s="295"/>
      <c r="E63" s="296"/>
      <c r="F63" s="297"/>
      <c r="G63" s="297"/>
      <c r="H63" s="297"/>
      <c r="I63" s="297"/>
      <c r="J63" s="297"/>
      <c r="K63" s="297"/>
      <c r="L63" s="297"/>
      <c r="M63" s="297"/>
      <c r="N63" s="285"/>
      <c r="O63" s="303">
        <v>200</v>
      </c>
      <c r="P63" s="303">
        <v>200</v>
      </c>
      <c r="Q63" s="283">
        <f t="shared" ref="Q63" si="28">+O63-P63</f>
        <v>0</v>
      </c>
      <c r="R63" s="284">
        <f t="shared" ref="R63" si="29">IF(P63=0,"NA",(+O63-P63)/P63)</f>
        <v>0</v>
      </c>
      <c r="S63" s="285"/>
      <c r="T63" s="282">
        <v>50</v>
      </c>
      <c r="U63" s="282">
        <v>183.37</v>
      </c>
      <c r="V63" s="284">
        <f t="shared" ref="V63" si="30">IF(U63=0,"NA",(+T63-U63)/U63)</f>
        <v>-0.72732726182036322</v>
      </c>
      <c r="W63" s="286"/>
      <c r="X63" s="69"/>
    </row>
    <row r="64" spans="1:24">
      <c r="C64" s="285" t="s">
        <v>225</v>
      </c>
      <c r="D64" s="295"/>
      <c r="E64" s="296"/>
      <c r="F64" s="297"/>
      <c r="G64" s="297"/>
      <c r="H64" s="297"/>
      <c r="I64" s="297"/>
      <c r="J64" s="297"/>
      <c r="K64" s="297"/>
      <c r="L64" s="297"/>
      <c r="M64" s="297"/>
      <c r="N64" s="285"/>
      <c r="O64" s="303">
        <v>0</v>
      </c>
      <c r="P64" s="303">
        <v>0</v>
      </c>
      <c r="Q64" s="283">
        <f t="shared" ref="Q64" si="31">+O64-P64</f>
        <v>0</v>
      </c>
      <c r="R64" s="284" t="str">
        <f t="shared" ref="R64" si="32">IF(P64=0,"NA",(+O64-P64)/P64)</f>
        <v>NA</v>
      </c>
      <c r="S64" s="285"/>
      <c r="T64" s="282">
        <v>221.01</v>
      </c>
      <c r="U64" s="282">
        <v>0</v>
      </c>
      <c r="V64" s="284" t="str">
        <f t="shared" ref="V64" si="33">IF(U64=0,"NA",(+T64-U64)/U64)</f>
        <v>NA</v>
      </c>
      <c r="W64" s="286" t="s">
        <v>274</v>
      </c>
      <c r="X64" s="69"/>
    </row>
    <row r="65" spans="1:24" ht="43.5">
      <c r="A65" s="47">
        <v>65</v>
      </c>
      <c r="C65" s="290" t="s">
        <v>124</v>
      </c>
      <c r="D65" s="298"/>
      <c r="E65" s="299"/>
      <c r="F65" s="300"/>
      <c r="G65" s="300"/>
      <c r="H65" s="300"/>
      <c r="I65" s="300"/>
      <c r="J65" s="300"/>
      <c r="K65" s="300"/>
      <c r="L65" s="300"/>
      <c r="M65" s="300"/>
      <c r="N65" s="290"/>
      <c r="O65" s="304">
        <v>1575</v>
      </c>
      <c r="P65" s="287">
        <v>1000</v>
      </c>
      <c r="Q65" s="288">
        <f t="shared" si="25"/>
        <v>575</v>
      </c>
      <c r="R65" s="289">
        <f t="shared" si="26"/>
        <v>0.57499999999999996</v>
      </c>
      <c r="S65" s="290"/>
      <c r="T65" s="304">
        <v>361.62</v>
      </c>
      <c r="U65" s="304">
        <v>1000</v>
      </c>
      <c r="V65" s="289">
        <f t="shared" si="27"/>
        <v>-0.63837999999999995</v>
      </c>
      <c r="W65" s="291" t="s">
        <v>243</v>
      </c>
      <c r="X65" s="65" t="s">
        <v>125</v>
      </c>
    </row>
    <row r="66" spans="1:24" s="4" customFormat="1">
      <c r="A66" s="47">
        <v>66</v>
      </c>
      <c r="B66" s="22" t="s">
        <v>32</v>
      </c>
      <c r="C66" s="22"/>
      <c r="D66" s="39"/>
      <c r="E66" s="95"/>
      <c r="F66" s="95"/>
      <c r="G66" s="95"/>
      <c r="H66" s="95"/>
      <c r="I66" s="95"/>
      <c r="J66" s="95"/>
      <c r="K66" s="95"/>
      <c r="L66" s="95"/>
      <c r="M66" s="95"/>
      <c r="N66" s="39"/>
      <c r="O66" s="22">
        <f>SUM(O59:O65)</f>
        <v>6775</v>
      </c>
      <c r="P66" s="39">
        <f>SUM(P59:P65)</f>
        <v>6700</v>
      </c>
      <c r="Q66" s="39">
        <f>SUM(Q59:Q65)</f>
        <v>75</v>
      </c>
      <c r="R66" s="23">
        <f t="shared" si="26"/>
        <v>1.1194029850746268E-2</v>
      </c>
      <c r="T66" s="39">
        <f>SUM(T59:T65)</f>
        <v>4057.8999999999996</v>
      </c>
      <c r="U66" s="39">
        <f>SUM(U59:U65)</f>
        <v>6433.37</v>
      </c>
      <c r="V66" s="23">
        <f t="shared" si="27"/>
        <v>-0.36924193696305363</v>
      </c>
      <c r="W66" s="84"/>
      <c r="X66" s="68"/>
    </row>
    <row r="67" spans="1:24" ht="6" customHeight="1">
      <c r="A67" s="47">
        <v>67</v>
      </c>
      <c r="R67" s="7"/>
      <c r="W67" s="82"/>
      <c r="X67" s="66"/>
    </row>
    <row r="68" spans="1:24">
      <c r="A68" s="47">
        <v>68</v>
      </c>
      <c r="B68" s="4" t="s">
        <v>33</v>
      </c>
      <c r="R68" s="7"/>
      <c r="W68" s="82"/>
      <c r="X68" s="66"/>
    </row>
    <row r="69" spans="1:24" ht="14.4" customHeight="1">
      <c r="A69" s="47">
        <v>69</v>
      </c>
      <c r="C69" s="280" t="s">
        <v>34</v>
      </c>
      <c r="D69" s="292"/>
      <c r="E69" s="293"/>
      <c r="F69" s="294"/>
      <c r="G69" s="294"/>
      <c r="H69" s="294"/>
      <c r="I69" s="294"/>
      <c r="J69" s="294"/>
      <c r="K69" s="294"/>
      <c r="L69" s="294"/>
      <c r="M69" s="294"/>
      <c r="N69" s="280"/>
      <c r="O69" s="305">
        <v>3500</v>
      </c>
      <c r="P69" s="305">
        <v>3000</v>
      </c>
      <c r="Q69" s="278">
        <f t="shared" ref="Q69:Q73" si="34">+O69-P69</f>
        <v>500</v>
      </c>
      <c r="R69" s="279">
        <f t="shared" ref="R69:R75" si="35">IF(P69=0,"NA",(+O69-P69)/P69)</f>
        <v>0.16666666666666666</v>
      </c>
      <c r="S69" s="280"/>
      <c r="T69" s="277">
        <v>3736.89</v>
      </c>
      <c r="U69" s="277">
        <v>2750</v>
      </c>
      <c r="V69" s="279">
        <f t="shared" ref="V69:V75" si="36">IF(U69=0,"NA",(+T69-U69)/U69)</f>
        <v>0.35886909090909086</v>
      </c>
      <c r="W69" s="281" t="s">
        <v>275</v>
      </c>
      <c r="X69" s="69" t="s">
        <v>140</v>
      </c>
    </row>
    <row r="70" spans="1:24">
      <c r="A70" s="47">
        <v>70</v>
      </c>
      <c r="C70" s="285" t="s">
        <v>35</v>
      </c>
      <c r="D70" s="295"/>
      <c r="E70" s="296"/>
      <c r="F70" s="297"/>
      <c r="G70" s="297"/>
      <c r="H70" s="297"/>
      <c r="I70" s="297"/>
      <c r="J70" s="297"/>
      <c r="K70" s="297"/>
      <c r="L70" s="297"/>
      <c r="M70" s="297"/>
      <c r="N70" s="285"/>
      <c r="O70" s="282">
        <v>3250</v>
      </c>
      <c r="P70" s="282">
        <v>3250</v>
      </c>
      <c r="Q70" s="283">
        <f t="shared" si="34"/>
        <v>0</v>
      </c>
      <c r="R70" s="284">
        <f t="shared" si="35"/>
        <v>0</v>
      </c>
      <c r="S70" s="285"/>
      <c r="T70" s="282">
        <v>3541.51</v>
      </c>
      <c r="U70" s="282">
        <v>2979.13</v>
      </c>
      <c r="V70" s="284">
        <f t="shared" si="36"/>
        <v>0.18877323245377009</v>
      </c>
      <c r="W70" s="286"/>
      <c r="X70" s="69" t="s">
        <v>126</v>
      </c>
    </row>
    <row r="71" spans="1:24" ht="14.5" customHeight="1">
      <c r="A71" s="47">
        <v>73</v>
      </c>
      <c r="C71" s="285" t="s">
        <v>36</v>
      </c>
      <c r="D71" s="295"/>
      <c r="E71" s="296"/>
      <c r="F71" s="297"/>
      <c r="G71" s="297"/>
      <c r="H71" s="297"/>
      <c r="I71" s="297"/>
      <c r="J71" s="297"/>
      <c r="K71" s="297"/>
      <c r="L71" s="297"/>
      <c r="M71" s="297"/>
      <c r="N71" s="285"/>
      <c r="O71" s="303">
        <v>13000</v>
      </c>
      <c r="P71" s="303">
        <v>13000</v>
      </c>
      <c r="Q71" s="283">
        <f t="shared" si="34"/>
        <v>0</v>
      </c>
      <c r="R71" s="284">
        <f t="shared" si="35"/>
        <v>0</v>
      </c>
      <c r="S71" s="285"/>
      <c r="T71" s="282">
        <v>14374.79</v>
      </c>
      <c r="U71" s="282">
        <v>11916.63</v>
      </c>
      <c r="V71" s="284">
        <f t="shared" si="36"/>
        <v>0.20627979554622422</v>
      </c>
      <c r="W71" s="286" t="s">
        <v>309</v>
      </c>
      <c r="X71" s="69" t="s">
        <v>151</v>
      </c>
    </row>
    <row r="72" spans="1:24" ht="31.5" customHeight="1">
      <c r="A72" s="47">
        <v>74</v>
      </c>
      <c r="C72" s="285" t="s">
        <v>37</v>
      </c>
      <c r="D72" s="295"/>
      <c r="E72" s="296"/>
      <c r="F72" s="297"/>
      <c r="G72" s="297"/>
      <c r="H72" s="297"/>
      <c r="I72" s="297"/>
      <c r="J72" s="297"/>
      <c r="K72" s="297"/>
      <c r="L72" s="297"/>
      <c r="M72" s="297"/>
      <c r="N72" s="285"/>
      <c r="O72" s="303">
        <v>1000</v>
      </c>
      <c r="P72" s="282">
        <v>700</v>
      </c>
      <c r="Q72" s="283">
        <f t="shared" si="34"/>
        <v>300</v>
      </c>
      <c r="R72" s="284">
        <f t="shared" si="35"/>
        <v>0.42857142857142855</v>
      </c>
      <c r="S72" s="285"/>
      <c r="T72" s="282">
        <v>1120.0999999999999</v>
      </c>
      <c r="U72" s="282">
        <v>641.63</v>
      </c>
      <c r="V72" s="284">
        <f t="shared" si="36"/>
        <v>0.74571014447578809</v>
      </c>
      <c r="W72" s="286" t="s">
        <v>310</v>
      </c>
      <c r="X72" s="66"/>
    </row>
    <row r="73" spans="1:24" ht="44" thickBot="1">
      <c r="A73" s="47">
        <v>75</v>
      </c>
      <c r="C73" s="290" t="s">
        <v>38</v>
      </c>
      <c r="D73" s="298"/>
      <c r="E73" s="496" t="s">
        <v>186</v>
      </c>
      <c r="F73" s="497"/>
      <c r="G73" s="497"/>
      <c r="H73" s="497"/>
      <c r="I73" s="497"/>
      <c r="J73" s="497"/>
      <c r="K73" s="497"/>
      <c r="L73" s="497"/>
      <c r="M73" s="498"/>
      <c r="N73" s="290"/>
      <c r="O73" s="304">
        <v>1700</v>
      </c>
      <c r="P73" s="304">
        <v>1000</v>
      </c>
      <c r="Q73" s="288">
        <f t="shared" si="34"/>
        <v>700</v>
      </c>
      <c r="R73" s="289">
        <f t="shared" si="35"/>
        <v>0.7</v>
      </c>
      <c r="S73" s="290"/>
      <c r="T73" s="287">
        <v>1432.08</v>
      </c>
      <c r="U73" s="287">
        <v>916.63</v>
      </c>
      <c r="V73" s="289">
        <f t="shared" si="36"/>
        <v>0.56233158417245777</v>
      </c>
      <c r="W73" s="291" t="s">
        <v>315</v>
      </c>
      <c r="X73" s="69" t="s">
        <v>141</v>
      </c>
    </row>
    <row r="74" spans="1:24" s="4" customFormat="1">
      <c r="A74" s="47">
        <v>76</v>
      </c>
      <c r="B74" s="22" t="s">
        <v>40</v>
      </c>
      <c r="C74" s="22"/>
      <c r="D74" s="39"/>
      <c r="E74" s="494">
        <f>Bud_Yr</f>
        <v>2019</v>
      </c>
      <c r="F74" s="495"/>
      <c r="G74" s="495"/>
      <c r="H74" s="495"/>
      <c r="I74" s="495">
        <f>Bud_Yr-1</f>
        <v>2018</v>
      </c>
      <c r="J74" s="495"/>
      <c r="K74" s="495"/>
      <c r="L74" s="495"/>
      <c r="M74" s="105">
        <f>Bud_Yr-2</f>
        <v>2017</v>
      </c>
      <c r="N74" s="39"/>
      <c r="O74" s="22">
        <f>SUM(O69:O73)</f>
        <v>22450</v>
      </c>
      <c r="P74" s="39">
        <f>SUM(P69:P73)</f>
        <v>20950</v>
      </c>
      <c r="Q74" s="39">
        <f>SUM(Q69:Q73)</f>
        <v>1500</v>
      </c>
      <c r="R74" s="23">
        <f t="shared" si="35"/>
        <v>7.1599045346062054E-2</v>
      </c>
      <c r="T74" s="39">
        <f>SUM(T69:T73)</f>
        <v>24205.370000000003</v>
      </c>
      <c r="U74" s="39">
        <f>SUM(U69:U73)</f>
        <v>19204.02</v>
      </c>
      <c r="V74" s="23">
        <f t="shared" si="36"/>
        <v>0.26043245112221308</v>
      </c>
      <c r="W74" s="109"/>
      <c r="X74" s="68"/>
    </row>
    <row r="75" spans="1:24" ht="15" thickBot="1">
      <c r="A75" s="47">
        <v>77</v>
      </c>
      <c r="B75" s="22" t="s">
        <v>93</v>
      </c>
      <c r="C75" s="25"/>
      <c r="D75" s="25"/>
      <c r="E75" s="106" t="s">
        <v>184</v>
      </c>
      <c r="F75" s="107" t="s">
        <v>185</v>
      </c>
      <c r="G75" s="107" t="s">
        <v>188</v>
      </c>
      <c r="H75" s="107" t="s">
        <v>183</v>
      </c>
      <c r="I75" s="107" t="s">
        <v>184</v>
      </c>
      <c r="J75" s="107" t="s">
        <v>185</v>
      </c>
      <c r="K75" s="107" t="s">
        <v>188</v>
      </c>
      <c r="L75" s="107" t="s">
        <v>183</v>
      </c>
      <c r="M75" s="108" t="s">
        <v>185</v>
      </c>
      <c r="N75" s="25"/>
      <c r="O75" s="22">
        <f>+O40+O47+O49+O56+O66+O74+O54</f>
        <v>52525</v>
      </c>
      <c r="P75" s="39">
        <f>+P40+P47+P49+P56+P66+P74+P54</f>
        <v>51350</v>
      </c>
      <c r="Q75" s="39">
        <f>+Q40+Q47+Q49+Q56+Q66+Q74+Q54</f>
        <v>1175</v>
      </c>
      <c r="R75" s="23">
        <f t="shared" si="35"/>
        <v>2.2882181110029213E-2</v>
      </c>
      <c r="T75" s="39">
        <f>+T40+T47+T49+T56+T66+T74+T54</f>
        <v>42896.46</v>
      </c>
      <c r="U75" s="39">
        <f>+U40+U47+U49+U56+U66+U74+U54</f>
        <v>48140.759999999995</v>
      </c>
      <c r="V75" s="23">
        <f t="shared" si="36"/>
        <v>-0.10893679285495277</v>
      </c>
      <c r="W75" s="82"/>
      <c r="X75" s="66"/>
    </row>
    <row r="76" spans="1:24" ht="8.25" customHeight="1">
      <c r="A76" s="47">
        <v>78</v>
      </c>
      <c r="R76" s="7"/>
      <c r="W76" s="82"/>
      <c r="X76" s="66"/>
    </row>
    <row r="77" spans="1:24" ht="30" customHeight="1">
      <c r="A77" s="47">
        <v>79</v>
      </c>
      <c r="B77" s="9" t="s">
        <v>39</v>
      </c>
      <c r="F77" s="97">
        <v>0.02</v>
      </c>
      <c r="G77" s="499" t="s">
        <v>107</v>
      </c>
      <c r="H77" s="499"/>
      <c r="K77" s="88" t="s">
        <v>211</v>
      </c>
      <c r="L77" s="97">
        <v>1.4E-2</v>
      </c>
      <c r="N77" s="478" t="s">
        <v>103</v>
      </c>
      <c r="R77" s="7"/>
      <c r="W77" s="82"/>
      <c r="X77" s="66"/>
    </row>
    <row r="78" spans="1:24" ht="15" customHeight="1">
      <c r="A78" s="47">
        <v>80</v>
      </c>
      <c r="B78" s="4" t="s">
        <v>171</v>
      </c>
      <c r="D78" s="57" t="s">
        <v>305</v>
      </c>
      <c r="F78" s="97">
        <v>0.02</v>
      </c>
      <c r="G78" s="499" t="s">
        <v>108</v>
      </c>
      <c r="H78" s="499"/>
      <c r="K78" s="88"/>
      <c r="N78" s="478"/>
      <c r="Q78" s="135"/>
      <c r="R78" s="7"/>
      <c r="T78" s="136"/>
      <c r="U78" s="37"/>
      <c r="W78" s="69" t="s">
        <v>244</v>
      </c>
      <c r="X78" s="65"/>
    </row>
    <row r="79" spans="1:24" ht="14.5" customHeight="1">
      <c r="A79" s="47">
        <v>81</v>
      </c>
      <c r="C79" s="280" t="s">
        <v>213</v>
      </c>
      <c r="D79" s="292"/>
      <c r="E79" s="293"/>
      <c r="F79" s="306"/>
      <c r="G79" s="467" t="s">
        <v>400</v>
      </c>
      <c r="H79" s="307"/>
      <c r="I79" s="308"/>
      <c r="J79" s="293"/>
      <c r="K79" s="308"/>
      <c r="L79" s="309"/>
      <c r="M79" s="310"/>
      <c r="N79" s="292"/>
      <c r="O79" s="311">
        <f>+'Pastor Detail'!G17</f>
        <v>72737</v>
      </c>
      <c r="P79" s="311">
        <f>+'Pastor Detail'!D11</f>
        <v>65896.916666666672</v>
      </c>
      <c r="Q79" s="278">
        <f t="shared" ref="Q79:Q88" si="37">+O79-P79</f>
        <v>6840.0833333333285</v>
      </c>
      <c r="R79" s="279">
        <f t="shared" ref="R79:R89" si="38">IF(P79=0,"NA",(+O79-P79)/P79)</f>
        <v>0.10379974783847996</v>
      </c>
      <c r="S79" s="280"/>
      <c r="T79" s="277">
        <f>40916.82+19250.07</f>
        <v>60166.89</v>
      </c>
      <c r="U79" s="277">
        <f>40916.82+19250.07</f>
        <v>60166.89</v>
      </c>
      <c r="V79" s="279">
        <f t="shared" ref="V79:V89" si="39">IF(U79=0,"NA",(+T79-U79)/U79)</f>
        <v>0</v>
      </c>
      <c r="W79" s="281"/>
      <c r="X79" s="69" t="s">
        <v>142</v>
      </c>
    </row>
    <row r="80" spans="1:24">
      <c r="A80" s="47">
        <v>82</v>
      </c>
      <c r="C80" s="285" t="s">
        <v>41</v>
      </c>
      <c r="D80" s="295"/>
      <c r="E80" s="296"/>
      <c r="F80" s="312" t="s">
        <v>401</v>
      </c>
      <c r="G80" s="313">
        <f>+('Pastor Detail'!G11+O106+O137+O144)-('Pastor Detail'!G6+P106+P137+P144)</f>
        <v>2178</v>
      </c>
      <c r="H80" s="314" t="s">
        <v>312</v>
      </c>
      <c r="I80" s="315"/>
      <c r="J80" s="296"/>
      <c r="K80" s="316"/>
      <c r="L80" s="296"/>
      <c r="M80" s="317"/>
      <c r="N80" s="318"/>
      <c r="O80" s="319">
        <f>+'Pastor Detail'!G54</f>
        <v>1500</v>
      </c>
      <c r="P80" s="303">
        <v>1500</v>
      </c>
      <c r="Q80" s="283">
        <f t="shared" si="37"/>
        <v>0</v>
      </c>
      <c r="R80" s="284">
        <f t="shared" si="38"/>
        <v>0</v>
      </c>
      <c r="S80" s="285"/>
      <c r="T80" s="282">
        <v>465.11</v>
      </c>
      <c r="U80" s="282">
        <v>1375</v>
      </c>
      <c r="V80" s="284">
        <f t="shared" si="39"/>
        <v>-0.66173818181818178</v>
      </c>
      <c r="W80" s="286" t="s">
        <v>201</v>
      </c>
      <c r="X80" s="69"/>
    </row>
    <row r="81" spans="1:24" ht="14.5" customHeight="1">
      <c r="C81" s="285" t="s">
        <v>111</v>
      </c>
      <c r="D81" s="295"/>
      <c r="E81" s="296"/>
      <c r="F81" s="312" t="s">
        <v>402</v>
      </c>
      <c r="G81" s="313">
        <f>(+O121+O127+O128+O130)-(P121+P127+P128+P130)</f>
        <v>548</v>
      </c>
      <c r="H81" s="296"/>
      <c r="I81" s="296"/>
      <c r="J81" s="314"/>
      <c r="K81" s="296"/>
      <c r="L81" s="296"/>
      <c r="M81" s="296"/>
      <c r="N81" s="318"/>
      <c r="O81" s="319">
        <f>+'Pastor Detail'!G21</f>
        <v>5564.3805000000002</v>
      </c>
      <c r="P81" s="303">
        <v>0</v>
      </c>
      <c r="Q81" s="283">
        <f t="shared" si="37"/>
        <v>5564.3805000000002</v>
      </c>
      <c r="R81" s="284" t="str">
        <f t="shared" ref="R81:R83" si="40">IF(P81=0,"NA",(+O81-P81)/P81)</f>
        <v>NA</v>
      </c>
      <c r="S81" s="285"/>
      <c r="T81" s="282">
        <v>4602.78</v>
      </c>
      <c r="U81" s="282">
        <v>0</v>
      </c>
      <c r="V81" s="284" t="str">
        <f t="shared" ref="V81:V83" si="41">IF(U81=0,"NA",(+T81-U81)/U81)</f>
        <v>NA</v>
      </c>
      <c r="W81" s="286" t="s">
        <v>303</v>
      </c>
      <c r="X81" s="69"/>
    </row>
    <row r="82" spans="1:24" ht="43.5">
      <c r="C82" s="500" t="s">
        <v>210</v>
      </c>
      <c r="D82" s="500"/>
      <c r="E82" s="320"/>
      <c r="F82" s="321" t="s">
        <v>297</v>
      </c>
      <c r="G82" s="322">
        <f>+G80+G81</f>
        <v>2726</v>
      </c>
      <c r="H82" s="323"/>
      <c r="I82" s="319"/>
      <c r="J82" s="324"/>
      <c r="K82" s="296"/>
      <c r="L82" s="508"/>
      <c r="M82" s="508"/>
      <c r="N82" s="508"/>
      <c r="O82" s="303">
        <v>0</v>
      </c>
      <c r="P82" s="319">
        <f>+'Pastor Detail'!D38</f>
        <v>8015</v>
      </c>
      <c r="Q82" s="283">
        <f t="shared" ref="Q82" si="42">+O82-P82</f>
        <v>-8015</v>
      </c>
      <c r="R82" s="284">
        <f t="shared" ref="R82" si="43">IF(P82=0,"NA",(+O82-P82)/P82)</f>
        <v>-1</v>
      </c>
      <c r="S82" s="285"/>
      <c r="T82" s="282">
        <v>0</v>
      </c>
      <c r="U82" s="282">
        <v>7318.08</v>
      </c>
      <c r="V82" s="284">
        <f t="shared" ref="V82" si="44">IF(U82=0,"NA",(+T82-U82)/U82)</f>
        <v>-1</v>
      </c>
      <c r="W82" s="286" t="s">
        <v>276</v>
      </c>
      <c r="X82" s="69"/>
    </row>
    <row r="83" spans="1:24" ht="14" customHeight="1">
      <c r="C83" s="285" t="s">
        <v>203</v>
      </c>
      <c r="D83" s="295"/>
      <c r="E83" s="296"/>
      <c r="F83" s="324"/>
      <c r="G83" s="296"/>
      <c r="H83" s="325"/>
      <c r="I83" s="296"/>
      <c r="J83" s="296"/>
      <c r="K83" s="296"/>
      <c r="L83" s="296"/>
      <c r="M83" s="296"/>
      <c r="N83" s="326"/>
      <c r="O83" s="319">
        <f>+'Pastor Detail'!G39</f>
        <v>16110</v>
      </c>
      <c r="P83" s="319">
        <f>+'Pastor Detail'!D37</f>
        <v>8752.2796120833355</v>
      </c>
      <c r="Q83" s="283">
        <f t="shared" ref="Q83" si="45">+O83-P83</f>
        <v>7357.7203879166645</v>
      </c>
      <c r="R83" s="284">
        <f t="shared" si="40"/>
        <v>0.84066331447622489</v>
      </c>
      <c r="S83" s="285"/>
      <c r="T83" s="282">
        <v>12685.98</v>
      </c>
      <c r="U83" s="303">
        <v>7990.92</v>
      </c>
      <c r="V83" s="284">
        <f t="shared" si="41"/>
        <v>0.58754936853328521</v>
      </c>
      <c r="W83" s="286" t="s">
        <v>294</v>
      </c>
      <c r="X83" s="73" t="s">
        <v>161</v>
      </c>
    </row>
    <row r="84" spans="1:24" ht="14.4" customHeight="1">
      <c r="C84" s="285" t="s">
        <v>205</v>
      </c>
      <c r="D84" s="295"/>
      <c r="E84" s="296"/>
      <c r="F84" s="296"/>
      <c r="G84" s="296"/>
      <c r="H84" s="327"/>
      <c r="I84" s="296"/>
      <c r="J84" s="296"/>
      <c r="K84" s="296"/>
      <c r="L84" s="296"/>
      <c r="M84" s="296"/>
      <c r="N84" s="328"/>
      <c r="O84" s="319">
        <v>0</v>
      </c>
      <c r="P84" s="303">
        <v>0</v>
      </c>
      <c r="Q84" s="283">
        <f t="shared" ref="Q84" si="46">+O84-P84</f>
        <v>0</v>
      </c>
      <c r="R84" s="284" t="str">
        <f t="shared" ref="R84" si="47">IF(P84=0,"NA",(+O84-P84)/P84)</f>
        <v>NA</v>
      </c>
      <c r="S84" s="285"/>
      <c r="T84" s="282">
        <v>0</v>
      </c>
      <c r="U84" s="303">
        <v>0</v>
      </c>
      <c r="V84" s="284" t="str">
        <f t="shared" ref="V84" si="48">IF(U84=0,"NA",(+T84-U84)/U84)</f>
        <v>NA</v>
      </c>
      <c r="W84" s="329" t="s">
        <v>209</v>
      </c>
      <c r="X84" s="73" t="s">
        <v>161</v>
      </c>
    </row>
    <row r="85" spans="1:24" ht="14.4" customHeight="1">
      <c r="A85" s="47">
        <v>83</v>
      </c>
      <c r="C85" s="285" t="s">
        <v>204</v>
      </c>
      <c r="D85" s="295"/>
      <c r="E85" s="317"/>
      <c r="F85" s="327"/>
      <c r="G85" s="317"/>
      <c r="H85" s="327"/>
      <c r="I85" s="317"/>
      <c r="J85" s="327"/>
      <c r="K85" s="330"/>
      <c r="L85" s="296"/>
      <c r="M85" s="296"/>
      <c r="N85" s="326"/>
      <c r="O85" s="319">
        <f>+'Pastor Detail'!G51</f>
        <v>2662</v>
      </c>
      <c r="P85" s="319">
        <f>+'Pastor Detail'!D51</f>
        <v>3183.6471316666675</v>
      </c>
      <c r="Q85" s="283">
        <f t="shared" si="37"/>
        <v>-521.64713166666752</v>
      </c>
      <c r="R85" s="284">
        <f t="shared" si="38"/>
        <v>-0.16385205711965339</v>
      </c>
      <c r="S85" s="285"/>
      <c r="T85" s="282">
        <v>2485.58</v>
      </c>
      <c r="U85" s="303">
        <v>2907.13</v>
      </c>
      <c r="V85" s="284">
        <f t="shared" si="39"/>
        <v>-0.14500555530712428</v>
      </c>
      <c r="W85" s="329" t="s">
        <v>212</v>
      </c>
      <c r="X85" s="73" t="s">
        <v>161</v>
      </c>
    </row>
    <row r="86" spans="1:24">
      <c r="C86" s="285" t="s">
        <v>113</v>
      </c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326"/>
      <c r="O86" s="319">
        <f>+'Pastor Detail'!G56</f>
        <v>600</v>
      </c>
      <c r="P86" s="303">
        <f>+(600)</f>
        <v>600</v>
      </c>
      <c r="Q86" s="283">
        <f t="shared" si="37"/>
        <v>0</v>
      </c>
      <c r="R86" s="284">
        <f t="shared" ref="R86" si="49">IF(P86=0,"NA",(+O86-P86)/P86)</f>
        <v>0</v>
      </c>
      <c r="S86" s="285"/>
      <c r="T86" s="282">
        <v>152.4</v>
      </c>
      <c r="U86" s="282">
        <v>550</v>
      </c>
      <c r="V86" s="284">
        <f t="shared" ref="V86" si="50">IF(U86=0,"NA",(+T86-U86)/U86)</f>
        <v>-0.72290909090909095</v>
      </c>
      <c r="W86" s="286" t="s">
        <v>202</v>
      </c>
      <c r="X86" s="69"/>
    </row>
    <row r="87" spans="1:24">
      <c r="C87" s="285" t="s">
        <v>290</v>
      </c>
      <c r="D87" s="295"/>
      <c r="E87" s="296"/>
      <c r="F87" s="297"/>
      <c r="G87" s="297"/>
      <c r="H87" s="297"/>
      <c r="I87" s="297"/>
      <c r="J87" s="297"/>
      <c r="K87" s="297"/>
      <c r="L87" s="297"/>
      <c r="M87" s="297"/>
      <c r="N87" s="331"/>
      <c r="O87" s="319">
        <f>+'Pastor Detail'!G57</f>
        <v>480</v>
      </c>
      <c r="P87" s="303">
        <v>0</v>
      </c>
      <c r="Q87" s="283">
        <f t="shared" ref="Q87" si="51">+O87-P87</f>
        <v>480</v>
      </c>
      <c r="R87" s="284" t="str">
        <f t="shared" ref="R87" si="52">IF(P87=0,"NA",(+O87-P87)/P87)</f>
        <v>NA</v>
      </c>
      <c r="S87" s="285"/>
      <c r="T87" s="282">
        <v>0</v>
      </c>
      <c r="U87" s="282">
        <v>0</v>
      </c>
      <c r="V87" s="284" t="str">
        <f t="shared" ref="V87" si="53">IF(U87=0,"NA",(+T87-U87)/U87)</f>
        <v>NA</v>
      </c>
      <c r="W87" s="286" t="s">
        <v>306</v>
      </c>
      <c r="X87" s="69"/>
    </row>
    <row r="88" spans="1:24" ht="29">
      <c r="A88" s="47">
        <v>85</v>
      </c>
      <c r="C88" s="290" t="s">
        <v>44</v>
      </c>
      <c r="D88" s="298"/>
      <c r="E88" s="299"/>
      <c r="F88" s="300"/>
      <c r="G88" s="300"/>
      <c r="H88" s="300"/>
      <c r="I88" s="300"/>
      <c r="J88" s="300"/>
      <c r="K88" s="300"/>
      <c r="L88" s="300"/>
      <c r="M88" s="300"/>
      <c r="N88" s="332"/>
      <c r="O88" s="333">
        <f>+'Pastor Detail'!G55</f>
        <v>1000</v>
      </c>
      <c r="P88" s="304">
        <v>1000</v>
      </c>
      <c r="Q88" s="288">
        <f t="shared" si="37"/>
        <v>0</v>
      </c>
      <c r="R88" s="289">
        <f t="shared" si="38"/>
        <v>0</v>
      </c>
      <c r="S88" s="290"/>
      <c r="T88" s="287">
        <v>242.09</v>
      </c>
      <c r="U88" s="287">
        <v>916.63</v>
      </c>
      <c r="V88" s="289">
        <f t="shared" si="39"/>
        <v>-0.7358912538319714</v>
      </c>
      <c r="W88" s="291" t="s">
        <v>293</v>
      </c>
      <c r="X88" s="69"/>
    </row>
    <row r="89" spans="1:24" s="4" customFormat="1">
      <c r="A89" s="47">
        <v>86</v>
      </c>
      <c r="B89" s="26" t="s">
        <v>172</v>
      </c>
      <c r="C89" s="26"/>
      <c r="D89" s="26"/>
      <c r="E89" s="98"/>
      <c r="F89" s="98"/>
      <c r="G89" s="98"/>
      <c r="H89" s="98"/>
      <c r="I89" s="98"/>
      <c r="J89" s="98"/>
      <c r="K89" s="98"/>
      <c r="L89" s="98"/>
      <c r="M89" s="98"/>
      <c r="N89" s="26"/>
      <c r="O89" s="26">
        <f>SUM(O79:O88)</f>
        <v>100653.3805</v>
      </c>
      <c r="P89" s="26">
        <f>SUM(P79:P88)</f>
        <v>88947.843410416681</v>
      </c>
      <c r="Q89" s="26">
        <f>SUM(Q79:Q88)</f>
        <v>11705.537089583326</v>
      </c>
      <c r="R89" s="27">
        <f t="shared" si="38"/>
        <v>0.13160001008200367</v>
      </c>
      <c r="T89" s="26">
        <f>SUM(T79:T88)</f>
        <v>80800.829999999987</v>
      </c>
      <c r="U89" s="26">
        <f>SUM(U79:U88)</f>
        <v>81224.650000000009</v>
      </c>
      <c r="V89" s="27">
        <f t="shared" si="39"/>
        <v>-5.2178741305751574E-3</v>
      </c>
      <c r="W89" s="84"/>
      <c r="X89" s="68"/>
    </row>
    <row r="90" spans="1:24" ht="6.75" customHeight="1">
      <c r="A90" s="47">
        <v>87</v>
      </c>
      <c r="R90" s="7"/>
      <c r="W90" s="82"/>
      <c r="X90" s="66"/>
    </row>
    <row r="91" spans="1:24">
      <c r="A91" s="47">
        <v>88</v>
      </c>
      <c r="B91" s="4" t="s">
        <v>236</v>
      </c>
      <c r="O91" s="42"/>
      <c r="R91" s="7"/>
      <c r="W91" s="82"/>
      <c r="X91" s="66"/>
    </row>
    <row r="92" spans="1:24">
      <c r="A92" s="47">
        <v>89</v>
      </c>
      <c r="C92" s="280" t="s">
        <v>45</v>
      </c>
      <c r="D92" s="292"/>
      <c r="E92" s="293"/>
      <c r="F92" s="294"/>
      <c r="G92" s="294"/>
      <c r="H92" s="334"/>
      <c r="I92" s="335"/>
      <c r="J92" s="335"/>
      <c r="K92" s="334"/>
      <c r="L92" s="334"/>
      <c r="M92" s="335"/>
      <c r="N92" s="280"/>
      <c r="O92" s="305">
        <v>45000</v>
      </c>
      <c r="P92" s="277">
        <v>0</v>
      </c>
      <c r="Q92" s="278">
        <f t="shared" ref="Q92:Q97" si="54">+O92-P92</f>
        <v>45000</v>
      </c>
      <c r="R92" s="279" t="str">
        <f t="shared" ref="R92:R98" si="55">IF(P92=0,"NA",(+O92-P92)/P92)</f>
        <v>NA</v>
      </c>
      <c r="S92" s="280"/>
      <c r="T92" s="277">
        <v>0</v>
      </c>
      <c r="U92" s="277">
        <v>0</v>
      </c>
      <c r="V92" s="279" t="str">
        <f t="shared" ref="V92:V98" si="56">IF(U92=0,"NA",(+T92-U92)/U92)</f>
        <v>NA</v>
      </c>
      <c r="W92" s="281"/>
      <c r="X92" s="65" t="s">
        <v>143</v>
      </c>
    </row>
    <row r="93" spans="1:24">
      <c r="C93" s="285" t="s">
        <v>44</v>
      </c>
      <c r="D93" s="295"/>
      <c r="E93" s="296"/>
      <c r="F93" s="297"/>
      <c r="G93" s="297"/>
      <c r="H93" s="336"/>
      <c r="I93" s="336"/>
      <c r="J93" s="336"/>
      <c r="K93" s="336"/>
      <c r="L93" s="336"/>
      <c r="M93" s="336"/>
      <c r="N93" s="285"/>
      <c r="O93" s="303">
        <v>750</v>
      </c>
      <c r="P93" s="282">
        <v>0</v>
      </c>
      <c r="Q93" s="283">
        <f t="shared" ref="Q93:Q95" si="57">+O93-P93</f>
        <v>750</v>
      </c>
      <c r="R93" s="284" t="str">
        <f t="shared" ref="R93:R95" si="58">IF(P93=0,"NA",(+O93-P93)/P93)</f>
        <v>NA</v>
      </c>
      <c r="S93" s="285"/>
      <c r="T93" s="282">
        <v>0</v>
      </c>
      <c r="U93" s="282">
        <v>0</v>
      </c>
      <c r="V93" s="284" t="str">
        <f t="shared" si="56"/>
        <v>NA</v>
      </c>
      <c r="W93" s="286"/>
      <c r="X93" s="65"/>
    </row>
    <row r="94" spans="1:24">
      <c r="C94" s="285" t="s">
        <v>46</v>
      </c>
      <c r="D94" s="295"/>
      <c r="E94" s="296"/>
      <c r="F94" s="297"/>
      <c r="G94" s="297"/>
      <c r="H94" s="336"/>
      <c r="I94" s="336"/>
      <c r="J94" s="336"/>
      <c r="K94" s="336"/>
      <c r="L94" s="336"/>
      <c r="M94" s="336"/>
      <c r="N94" s="285"/>
      <c r="O94" s="303">
        <v>1500</v>
      </c>
      <c r="P94" s="282">
        <v>0</v>
      </c>
      <c r="Q94" s="283">
        <f t="shared" si="57"/>
        <v>1500</v>
      </c>
      <c r="R94" s="284" t="str">
        <f t="shared" si="58"/>
        <v>NA</v>
      </c>
      <c r="S94" s="285"/>
      <c r="T94" s="282">
        <v>0</v>
      </c>
      <c r="U94" s="282">
        <v>0</v>
      </c>
      <c r="V94" s="284" t="str">
        <f t="shared" si="56"/>
        <v>NA</v>
      </c>
      <c r="W94" s="286"/>
      <c r="X94" s="65"/>
    </row>
    <row r="95" spans="1:24">
      <c r="C95" s="285" t="s">
        <v>290</v>
      </c>
      <c r="D95" s="295"/>
      <c r="E95" s="296"/>
      <c r="F95" s="297"/>
      <c r="G95" s="297"/>
      <c r="H95" s="297"/>
      <c r="I95" s="297"/>
      <c r="J95" s="297"/>
      <c r="K95" s="297"/>
      <c r="L95" s="297"/>
      <c r="M95" s="297"/>
      <c r="N95" s="331"/>
      <c r="O95" s="303">
        <f>40*12</f>
        <v>480</v>
      </c>
      <c r="P95" s="303">
        <v>0</v>
      </c>
      <c r="Q95" s="283">
        <f t="shared" si="57"/>
        <v>480</v>
      </c>
      <c r="R95" s="284" t="str">
        <f t="shared" si="58"/>
        <v>NA</v>
      </c>
      <c r="S95" s="285"/>
      <c r="T95" s="282">
        <v>0</v>
      </c>
      <c r="U95" s="282">
        <v>0</v>
      </c>
      <c r="V95" s="284" t="str">
        <f t="shared" si="56"/>
        <v>NA</v>
      </c>
      <c r="W95" s="286" t="s">
        <v>306</v>
      </c>
      <c r="X95" s="69"/>
    </row>
    <row r="96" spans="1:24">
      <c r="C96" s="285" t="s">
        <v>113</v>
      </c>
      <c r="D96" s="295"/>
      <c r="E96" s="296"/>
      <c r="F96" s="297"/>
      <c r="G96" s="297"/>
      <c r="H96" s="336"/>
      <c r="I96" s="336"/>
      <c r="J96" s="336"/>
      <c r="K96" s="336"/>
      <c r="L96" s="336"/>
      <c r="M96" s="336"/>
      <c r="N96" s="285"/>
      <c r="O96" s="303">
        <v>350</v>
      </c>
      <c r="P96" s="282">
        <v>0</v>
      </c>
      <c r="Q96" s="283">
        <f t="shared" ref="Q96" si="59">+O96-P96</f>
        <v>350</v>
      </c>
      <c r="R96" s="284" t="str">
        <f t="shared" ref="R96" si="60">IF(P96=0,"NA",(+O96-P96)/P96)</f>
        <v>NA</v>
      </c>
      <c r="S96" s="285"/>
      <c r="T96" s="282">
        <v>0</v>
      </c>
      <c r="U96" s="282">
        <v>0</v>
      </c>
      <c r="V96" s="284" t="str">
        <f t="shared" si="56"/>
        <v>NA</v>
      </c>
      <c r="W96" s="286"/>
      <c r="X96" s="65"/>
    </row>
    <row r="97" spans="1:24">
      <c r="A97" s="47">
        <v>90</v>
      </c>
      <c r="C97" s="290" t="s">
        <v>301</v>
      </c>
      <c r="D97" s="298"/>
      <c r="E97" s="299"/>
      <c r="F97" s="300"/>
      <c r="G97" s="300"/>
      <c r="H97" s="300"/>
      <c r="I97" s="300"/>
      <c r="J97" s="300"/>
      <c r="K97" s="300"/>
      <c r="L97" s="300"/>
      <c r="M97" s="300"/>
      <c r="N97" s="290"/>
      <c r="O97" s="304">
        <f>500+500+1000</f>
        <v>2000</v>
      </c>
      <c r="P97" s="287">
        <v>0</v>
      </c>
      <c r="Q97" s="288">
        <f t="shared" si="54"/>
        <v>2000</v>
      </c>
      <c r="R97" s="289" t="str">
        <f t="shared" si="55"/>
        <v>NA</v>
      </c>
      <c r="S97" s="290"/>
      <c r="T97" s="287">
        <v>0</v>
      </c>
      <c r="U97" s="287">
        <v>0</v>
      </c>
      <c r="V97" s="289" t="str">
        <f t="shared" si="56"/>
        <v>NA</v>
      </c>
      <c r="W97" s="291" t="s">
        <v>302</v>
      </c>
      <c r="X97" s="66"/>
    </row>
    <row r="98" spans="1:24" s="4" customFormat="1">
      <c r="A98" s="47">
        <v>91</v>
      </c>
      <c r="B98" s="26" t="s">
        <v>237</v>
      </c>
      <c r="C98" s="26"/>
      <c r="D98" s="26"/>
      <c r="E98" s="98"/>
      <c r="F98" s="98"/>
      <c r="G98" s="98"/>
      <c r="H98" s="98"/>
      <c r="I98" s="98"/>
      <c r="J98" s="98"/>
      <c r="K98" s="98"/>
      <c r="L98" s="98"/>
      <c r="M98" s="98"/>
      <c r="N98" s="26"/>
      <c r="O98" s="26">
        <f>SUM(O92:O97)</f>
        <v>50080</v>
      </c>
      <c r="P98" s="26">
        <f>SUM(P92:P97)</f>
        <v>0</v>
      </c>
      <c r="Q98" s="26">
        <f>SUM(Q92:Q97)</f>
        <v>50080</v>
      </c>
      <c r="R98" s="27" t="str">
        <f t="shared" si="55"/>
        <v>NA</v>
      </c>
      <c r="T98" s="26">
        <f>SUM(T92:T97)</f>
        <v>0</v>
      </c>
      <c r="U98" s="26">
        <f>SUM(U92:U97)</f>
        <v>0</v>
      </c>
      <c r="V98" s="27" t="str">
        <f t="shared" si="56"/>
        <v>NA</v>
      </c>
      <c r="W98" s="84"/>
      <c r="X98" s="68"/>
    </row>
    <row r="99" spans="1:24" ht="4.5" customHeight="1">
      <c r="A99" s="47">
        <v>92</v>
      </c>
      <c r="R99" s="7"/>
      <c r="W99" s="82"/>
      <c r="X99" s="66"/>
    </row>
    <row r="100" spans="1:24">
      <c r="A100" s="47">
        <v>88</v>
      </c>
      <c r="B100" s="4" t="s">
        <v>220</v>
      </c>
      <c r="R100" s="42"/>
      <c r="V100" s="42"/>
      <c r="W100" s="82"/>
      <c r="X100" s="66"/>
    </row>
    <row r="101" spans="1:24" ht="14.4" customHeight="1">
      <c r="A101" s="47">
        <v>89</v>
      </c>
      <c r="C101" s="280" t="s">
        <v>45</v>
      </c>
      <c r="D101" s="292"/>
      <c r="E101" s="293"/>
      <c r="F101" s="294"/>
      <c r="G101" s="294"/>
      <c r="H101" s="335">
        <f>ROUND(+$P101*(1+$F$77),0)</f>
        <v>2040</v>
      </c>
      <c r="I101" s="335"/>
      <c r="J101" s="335"/>
      <c r="K101" s="335"/>
      <c r="L101" s="335"/>
      <c r="M101" s="335"/>
      <c r="N101" s="280"/>
      <c r="O101" s="305">
        <f>200*10</f>
        <v>2000</v>
      </c>
      <c r="P101" s="305">
        <f>200*10</f>
        <v>2000</v>
      </c>
      <c r="Q101" s="278">
        <f t="shared" ref="Q101:Q102" si="61">+O101-P101</f>
        <v>0</v>
      </c>
      <c r="R101" s="279">
        <f t="shared" ref="R101:R103" si="62">IF(P101=0,"NA",(+O101-P101)/P101)</f>
        <v>0</v>
      </c>
      <c r="S101" s="280"/>
      <c r="T101" s="277">
        <v>200</v>
      </c>
      <c r="U101" s="277">
        <v>1833.37</v>
      </c>
      <c r="V101" s="279">
        <f>IF(U101=0,"NA",(+T101-U101)/U101)</f>
        <v>-0.89091127268363723</v>
      </c>
      <c r="W101" s="281" t="s">
        <v>189</v>
      </c>
      <c r="X101" s="65" t="s">
        <v>152</v>
      </c>
    </row>
    <row r="102" spans="1:24">
      <c r="A102" s="47">
        <v>90</v>
      </c>
      <c r="C102" s="290" t="s">
        <v>46</v>
      </c>
      <c r="D102" s="298"/>
      <c r="E102" s="299"/>
      <c r="F102" s="300"/>
      <c r="G102" s="300"/>
      <c r="H102" s="300"/>
      <c r="I102" s="300"/>
      <c r="J102" s="300"/>
      <c r="K102" s="300"/>
      <c r="L102" s="300"/>
      <c r="M102" s="300"/>
      <c r="N102" s="290"/>
      <c r="O102" s="287">
        <v>0</v>
      </c>
      <c r="P102" s="287">
        <v>0</v>
      </c>
      <c r="Q102" s="288">
        <f t="shared" si="61"/>
        <v>0</v>
      </c>
      <c r="R102" s="289" t="str">
        <f t="shared" si="62"/>
        <v>NA</v>
      </c>
      <c r="S102" s="290"/>
      <c r="T102" s="287">
        <v>13.08</v>
      </c>
      <c r="U102" s="287">
        <v>0</v>
      </c>
      <c r="V102" s="289" t="str">
        <f>IF(U102=0,"NA",(+T102-U102)/U102)</f>
        <v>NA</v>
      </c>
      <c r="W102" s="302"/>
      <c r="X102" s="66"/>
    </row>
    <row r="103" spans="1:24" s="4" customFormat="1">
      <c r="A103" s="47">
        <v>91</v>
      </c>
      <c r="B103" s="26" t="s">
        <v>221</v>
      </c>
      <c r="C103" s="26"/>
      <c r="D103" s="26"/>
      <c r="E103" s="98"/>
      <c r="F103" s="98"/>
      <c r="G103" s="98"/>
      <c r="H103" s="98"/>
      <c r="I103" s="98"/>
      <c r="J103" s="98"/>
      <c r="K103" s="98"/>
      <c r="L103" s="98"/>
      <c r="M103" s="98"/>
      <c r="N103" s="26"/>
      <c r="O103" s="26">
        <f>SUM(O101:O102)</f>
        <v>2000</v>
      </c>
      <c r="P103" s="26">
        <f>SUM(P101:P102)</f>
        <v>2000</v>
      </c>
      <c r="Q103" s="26">
        <f>SUM(Q101:Q102)</f>
        <v>0</v>
      </c>
      <c r="R103" s="27">
        <f t="shared" si="62"/>
        <v>0</v>
      </c>
      <c r="T103" s="26">
        <f>SUM(T101:T102)</f>
        <v>213.08</v>
      </c>
      <c r="U103" s="26">
        <f>SUM(U101:U102)</f>
        <v>1833.37</v>
      </c>
      <c r="V103" s="27">
        <f>IF(U103=0,"NA",(+T103-U103)/U103)</f>
        <v>-0.8837768699171471</v>
      </c>
      <c r="W103" s="84"/>
      <c r="X103" s="68"/>
    </row>
    <row r="104" spans="1:24" ht="4.5" customHeight="1">
      <c r="R104" s="42"/>
      <c r="V104" s="42"/>
      <c r="W104" s="82"/>
      <c r="X104" s="66"/>
    </row>
    <row r="105" spans="1:24">
      <c r="A105" s="47">
        <v>93</v>
      </c>
      <c r="B105" s="4" t="s">
        <v>192</v>
      </c>
      <c r="R105" s="7"/>
      <c r="W105" s="82"/>
      <c r="X105" s="66"/>
    </row>
    <row r="106" spans="1:24" ht="14.4" customHeight="1">
      <c r="A106" s="47">
        <v>94</v>
      </c>
      <c r="C106" s="280" t="s">
        <v>45</v>
      </c>
      <c r="D106" s="292"/>
      <c r="E106" s="293"/>
      <c r="F106" s="337"/>
      <c r="G106" s="337"/>
      <c r="H106" s="335">
        <f>ROUND(+$P106*(1+$F$77),0)</f>
        <v>20808</v>
      </c>
      <c r="I106" s="335"/>
      <c r="J106" s="335"/>
      <c r="K106" s="335"/>
      <c r="L106" s="335"/>
      <c r="M106" s="335"/>
      <c r="N106" s="280"/>
      <c r="O106" s="311">
        <f>ROUND(+P106*(1+F$77),0)</f>
        <v>20808</v>
      </c>
      <c r="P106" s="277">
        <v>20400</v>
      </c>
      <c r="Q106" s="278">
        <f t="shared" ref="Q106:Q107" si="63">+O106-P106</f>
        <v>408</v>
      </c>
      <c r="R106" s="279">
        <f t="shared" ref="R106:R108" si="64">IF(P106=0,"NA",(+O106-P106)/P106)</f>
        <v>0.02</v>
      </c>
      <c r="S106" s="280"/>
      <c r="T106" s="277">
        <v>18700</v>
      </c>
      <c r="U106" s="277">
        <v>18700</v>
      </c>
      <c r="V106" s="279">
        <f>IF(U106=0,"NA",(+T106-U106)/U106)</f>
        <v>0</v>
      </c>
      <c r="W106" s="281" t="s">
        <v>178</v>
      </c>
      <c r="X106" s="65" t="s">
        <v>128</v>
      </c>
    </row>
    <row r="107" spans="1:24" ht="44.5" customHeight="1">
      <c r="A107" s="47">
        <v>95</v>
      </c>
      <c r="C107" s="290" t="s">
        <v>47</v>
      </c>
      <c r="D107" s="298"/>
      <c r="E107" s="338">
        <v>2</v>
      </c>
      <c r="F107" s="339">
        <f>ROUND(+J107*(1+H107),2)</f>
        <v>10</v>
      </c>
      <c r="G107" s="338">
        <v>40</v>
      </c>
      <c r="H107" s="340">
        <v>0</v>
      </c>
      <c r="I107" s="338">
        <v>4</v>
      </c>
      <c r="J107" s="341">
        <v>10</v>
      </c>
      <c r="K107" s="338">
        <v>40</v>
      </c>
      <c r="L107" s="289">
        <f>IF(M107=0,0,(+J107-M107)/M107)</f>
        <v>0</v>
      </c>
      <c r="M107" s="342">
        <v>0</v>
      </c>
      <c r="N107" s="290"/>
      <c r="O107" s="333">
        <f>ROUND(F107*E107*G107,0)</f>
        <v>800</v>
      </c>
      <c r="P107" s="304">
        <v>800</v>
      </c>
      <c r="Q107" s="288">
        <f t="shared" si="63"/>
        <v>0</v>
      </c>
      <c r="R107" s="289">
        <f t="shared" si="64"/>
        <v>0</v>
      </c>
      <c r="S107" s="290"/>
      <c r="T107" s="304">
        <v>221.75</v>
      </c>
      <c r="U107" s="287">
        <v>733.37</v>
      </c>
      <c r="V107" s="289">
        <f>IF(U107=0,"NA",(+T107-U107)/U107)</f>
        <v>-0.69762875492589005</v>
      </c>
      <c r="W107" s="374" t="str">
        <f>"Matt Nelson (not taking) and Alyssa Both at:  "&amp;Bud_Yr&amp;":  avg "&amp;E107&amp;" hrs/week at $"&amp;F107&amp;"/hr ("&amp;ROUND(H107*100,1)&amp;"% incr.) for "&amp;G107&amp;" weeks (Sept-May, excluding Lent).  "&amp;Bud_Yr-1&amp;":  avg "&amp;I107&amp;" hrs/week at $"&amp;J107&amp;"/hr ("&amp;ROUND(L107*100,1)&amp;"% incr.) for "&amp;K107&amp;" weeks.   "</f>
        <v xml:space="preserve">Matt Nelson (not taking) and Alyssa Both at:  2019:  avg 2 hrs/week at $10/hr (0% incr.) for 40 weeks (Sept-May, excluding Lent).  2018:  avg 4 hrs/week at $10/hr (0% incr.) for 40 weeks.   </v>
      </c>
      <c r="X107" s="1" t="s">
        <v>129</v>
      </c>
    </row>
    <row r="108" spans="1:24" s="4" customFormat="1">
      <c r="A108" s="47">
        <v>96</v>
      </c>
      <c r="B108" s="26" t="s">
        <v>48</v>
      </c>
      <c r="C108" s="26"/>
      <c r="D108" s="26"/>
      <c r="E108" s="98"/>
      <c r="F108" s="98"/>
      <c r="G108" s="98"/>
      <c r="H108" s="98"/>
      <c r="I108" s="98"/>
      <c r="J108" s="98"/>
      <c r="K108" s="98"/>
      <c r="L108" s="98"/>
      <c r="M108" s="98"/>
      <c r="N108" s="26"/>
      <c r="O108" s="26">
        <f>SUM(O106:O107)</f>
        <v>21608</v>
      </c>
      <c r="P108" s="26">
        <f>SUM(P106:P107)</f>
        <v>21200</v>
      </c>
      <c r="Q108" s="26">
        <f>SUM(Q106:Q107)</f>
        <v>408</v>
      </c>
      <c r="R108" s="27">
        <f t="shared" si="64"/>
        <v>1.9245283018867923E-2</v>
      </c>
      <c r="T108" s="26">
        <f>SUM(T106:T107)</f>
        <v>18921.75</v>
      </c>
      <c r="U108" s="26">
        <f>SUM(U106:U107)</f>
        <v>19433.37</v>
      </c>
      <c r="V108" s="27">
        <f>IF(U108=0,"NA",(+T108-U108)/U108)</f>
        <v>-2.6326880000740942E-2</v>
      </c>
      <c r="W108" s="84"/>
      <c r="X108" s="68"/>
    </row>
    <row r="109" spans="1:24" ht="6" customHeight="1" thickBot="1">
      <c r="A109" s="47">
        <v>97</v>
      </c>
      <c r="R109" s="7"/>
      <c r="W109" s="82"/>
      <c r="X109" s="66"/>
    </row>
    <row r="110" spans="1:24">
      <c r="A110" s="47">
        <v>98</v>
      </c>
      <c r="B110" s="4" t="s">
        <v>122</v>
      </c>
      <c r="C110" s="280"/>
      <c r="D110" s="292"/>
      <c r="E110" s="501">
        <v>2017</v>
      </c>
      <c r="F110" s="502"/>
      <c r="G110" s="502"/>
      <c r="H110" s="503"/>
      <c r="I110" s="509" t="str">
        <f>"2017 = 1/2 Lead and 1/2 Deacon2018 75% Deacon plus increase 2.0%, "&amp;F77*100&amp;"% Lead"</f>
        <v>2017 = 1/2 Lead and 1/2 Deacon2018 75% Deacon plus increase 2.0%, 2% Lead</v>
      </c>
      <c r="J110" s="510"/>
      <c r="K110" s="510"/>
      <c r="L110" s="510"/>
      <c r="M110" s="510"/>
      <c r="N110" s="510"/>
      <c r="O110" s="280"/>
      <c r="P110" s="280"/>
      <c r="Q110" s="280"/>
      <c r="R110" s="294"/>
      <c r="S110" s="280"/>
      <c r="T110" s="280"/>
      <c r="U110" s="280"/>
      <c r="V110" s="294"/>
      <c r="W110" s="343"/>
      <c r="X110" s="66"/>
    </row>
    <row r="111" spans="1:24" ht="14.5" customHeight="1">
      <c r="A111" s="47">
        <v>99</v>
      </c>
      <c r="C111" s="285" t="s">
        <v>45</v>
      </c>
      <c r="D111" s="295"/>
      <c r="E111" s="344">
        <f>86349</f>
        <v>86349</v>
      </c>
      <c r="F111" s="345" t="s">
        <v>193</v>
      </c>
      <c r="G111" s="303">
        <v>38239</v>
      </c>
      <c r="H111" s="346" t="s">
        <v>122</v>
      </c>
      <c r="I111" s="511"/>
      <c r="J111" s="512"/>
      <c r="K111" s="512"/>
      <c r="L111" s="512"/>
      <c r="M111" s="512"/>
      <c r="N111" s="512"/>
      <c r="O111" s="303">
        <v>0</v>
      </c>
      <c r="P111" s="303">
        <v>40976</v>
      </c>
      <c r="Q111" s="283">
        <f t="shared" ref="Q111:Q117" si="65">+O111-P111</f>
        <v>-40976</v>
      </c>
      <c r="R111" s="284">
        <f t="shared" ref="R111:R118" si="66">IF(P111=0,"NA",(+O111-P111)/P111)</f>
        <v>-1</v>
      </c>
      <c r="S111" s="285"/>
      <c r="T111" s="282">
        <v>22045.23</v>
      </c>
      <c r="U111" s="282">
        <v>37561.370000000003</v>
      </c>
      <c r="V111" s="284">
        <f t="shared" ref="V111:V118" si="67">IF(U111=0,"NA",(+T111-U111)/U111)</f>
        <v>-0.41308770154017282</v>
      </c>
      <c r="W111" s="286" t="s">
        <v>224</v>
      </c>
      <c r="X111" s="65" t="s">
        <v>153</v>
      </c>
    </row>
    <row r="112" spans="1:24" ht="29">
      <c r="A112" s="47">
        <v>100</v>
      </c>
      <c r="C112" s="285" t="s">
        <v>42</v>
      </c>
      <c r="D112" s="295"/>
      <c r="E112" s="296"/>
      <c r="F112" s="347">
        <v>0.11</v>
      </c>
      <c r="G112" s="297">
        <v>2017</v>
      </c>
      <c r="H112" s="347">
        <v>0.12</v>
      </c>
      <c r="I112" s="297">
        <v>2018</v>
      </c>
      <c r="J112" s="297"/>
      <c r="K112" s="297"/>
      <c r="L112" s="297"/>
      <c r="M112" s="297"/>
      <c r="N112" s="285"/>
      <c r="O112" s="303">
        <v>0</v>
      </c>
      <c r="P112" s="303">
        <v>6556</v>
      </c>
      <c r="Q112" s="283">
        <f t="shared" si="65"/>
        <v>-6556</v>
      </c>
      <c r="R112" s="284">
        <f t="shared" si="66"/>
        <v>-1</v>
      </c>
      <c r="S112" s="285"/>
      <c r="T112" s="282">
        <v>2831.06</v>
      </c>
      <c r="U112" s="282">
        <v>6009.63</v>
      </c>
      <c r="V112" s="284">
        <f t="shared" si="67"/>
        <v>-0.52891276168416357</v>
      </c>
      <c r="W112" s="329" t="s">
        <v>215</v>
      </c>
      <c r="X112" s="73"/>
    </row>
    <row r="113" spans="1:24">
      <c r="A113" s="47">
        <v>101</v>
      </c>
      <c r="C113" s="285" t="s">
        <v>44</v>
      </c>
      <c r="D113" s="295"/>
      <c r="E113" s="296"/>
      <c r="F113" s="297"/>
      <c r="G113" s="297"/>
      <c r="H113" s="297"/>
      <c r="I113" s="297"/>
      <c r="J113" s="297"/>
      <c r="K113" s="297"/>
      <c r="L113" s="297"/>
      <c r="M113" s="297"/>
      <c r="N113" s="285"/>
      <c r="O113" s="282">
        <v>0</v>
      </c>
      <c r="P113" s="282">
        <v>750</v>
      </c>
      <c r="Q113" s="283">
        <f t="shared" si="65"/>
        <v>-750</v>
      </c>
      <c r="R113" s="284">
        <f t="shared" si="66"/>
        <v>-1</v>
      </c>
      <c r="S113" s="285"/>
      <c r="T113" s="282">
        <v>182.8</v>
      </c>
      <c r="U113" s="282">
        <v>687.5</v>
      </c>
      <c r="V113" s="284">
        <f t="shared" si="67"/>
        <v>-0.73410909090909093</v>
      </c>
      <c r="W113" s="286"/>
      <c r="X113" s="65"/>
    </row>
    <row r="114" spans="1:24" ht="14.4" customHeight="1">
      <c r="A114" s="47">
        <v>102</v>
      </c>
      <c r="C114" s="285" t="s">
        <v>43</v>
      </c>
      <c r="D114" s="295"/>
      <c r="E114" s="296"/>
      <c r="F114" s="297"/>
      <c r="G114" s="297"/>
      <c r="H114" s="297"/>
      <c r="I114" s="297"/>
      <c r="J114" s="297"/>
      <c r="K114" s="297"/>
      <c r="L114" s="297"/>
      <c r="M114" s="297"/>
      <c r="N114" s="285"/>
      <c r="O114" s="303">
        <v>0</v>
      </c>
      <c r="P114" s="303">
        <v>3300</v>
      </c>
      <c r="Q114" s="283">
        <f t="shared" si="65"/>
        <v>-3300</v>
      </c>
      <c r="R114" s="284">
        <f t="shared" si="66"/>
        <v>-1</v>
      </c>
      <c r="S114" s="285"/>
      <c r="T114" s="282">
        <v>2176.13</v>
      </c>
      <c r="U114" s="282">
        <v>3025</v>
      </c>
      <c r="V114" s="284">
        <f t="shared" si="67"/>
        <v>-0.28061818181818177</v>
      </c>
      <c r="W114" s="286" t="s">
        <v>197</v>
      </c>
      <c r="X114" s="69" t="s">
        <v>144</v>
      </c>
    </row>
    <row r="115" spans="1:24">
      <c r="A115" s="47">
        <v>103</v>
      </c>
      <c r="C115" s="285" t="s">
        <v>46</v>
      </c>
      <c r="D115" s="295"/>
      <c r="E115" s="296"/>
      <c r="F115" s="297"/>
      <c r="G115" s="297"/>
      <c r="H115" s="297"/>
      <c r="I115" s="297"/>
      <c r="J115" s="297"/>
      <c r="K115" s="297"/>
      <c r="L115" s="297"/>
      <c r="M115" s="297"/>
      <c r="N115" s="285"/>
      <c r="O115" s="282">
        <v>0</v>
      </c>
      <c r="P115" s="282">
        <v>1500</v>
      </c>
      <c r="Q115" s="283">
        <f t="shared" si="65"/>
        <v>-1500</v>
      </c>
      <c r="R115" s="284">
        <f t="shared" si="66"/>
        <v>-1</v>
      </c>
      <c r="S115" s="285"/>
      <c r="T115" s="282">
        <v>293.25</v>
      </c>
      <c r="U115" s="282">
        <v>1375</v>
      </c>
      <c r="V115" s="284">
        <f t="shared" si="67"/>
        <v>-0.78672727272727272</v>
      </c>
      <c r="W115" s="286" t="s">
        <v>196</v>
      </c>
      <c r="X115" s="65"/>
    </row>
    <row r="116" spans="1:24">
      <c r="C116" s="285" t="s">
        <v>113</v>
      </c>
      <c r="D116" s="295"/>
      <c r="E116" s="296"/>
      <c r="F116" s="297"/>
      <c r="G116" s="297"/>
      <c r="H116" s="297"/>
      <c r="I116" s="297"/>
      <c r="J116" s="297"/>
      <c r="K116" s="297"/>
      <c r="L116" s="297"/>
      <c r="M116" s="297"/>
      <c r="N116" s="285"/>
      <c r="O116" s="282">
        <v>0</v>
      </c>
      <c r="P116" s="282">
        <v>350</v>
      </c>
      <c r="Q116" s="283">
        <f t="shared" ref="Q116" si="68">+O116-P116</f>
        <v>-350</v>
      </c>
      <c r="R116" s="284">
        <f t="shared" ref="R116" si="69">IF(P116=0,"NA",(+O116-P116)/P116)</f>
        <v>-1</v>
      </c>
      <c r="S116" s="285"/>
      <c r="T116" s="282">
        <v>75.7</v>
      </c>
      <c r="U116" s="282">
        <v>320.87</v>
      </c>
      <c r="V116" s="284">
        <f t="shared" ref="V116" si="70">IF(U116=0,"NA",(+T116-U116)/U116)</f>
        <v>-0.76407891046218102</v>
      </c>
      <c r="W116" s="286" t="s">
        <v>196</v>
      </c>
      <c r="X116" s="65"/>
    </row>
    <row r="117" spans="1:24">
      <c r="A117" s="47">
        <v>104</v>
      </c>
      <c r="C117" s="290" t="s">
        <v>49</v>
      </c>
      <c r="D117" s="298"/>
      <c r="E117" s="299"/>
      <c r="F117" s="300"/>
      <c r="G117" s="300"/>
      <c r="H117" s="300"/>
      <c r="I117" s="300"/>
      <c r="J117" s="300"/>
      <c r="K117" s="300"/>
      <c r="L117" s="300"/>
      <c r="M117" s="300"/>
      <c r="N117" s="290"/>
      <c r="O117" s="287">
        <v>0</v>
      </c>
      <c r="P117" s="287">
        <v>0</v>
      </c>
      <c r="Q117" s="288">
        <f t="shared" si="65"/>
        <v>0</v>
      </c>
      <c r="R117" s="289" t="str">
        <f t="shared" si="66"/>
        <v>NA</v>
      </c>
      <c r="S117" s="290"/>
      <c r="T117" s="287">
        <v>0</v>
      </c>
      <c r="U117" s="287">
        <v>0</v>
      </c>
      <c r="V117" s="289" t="str">
        <f t="shared" si="67"/>
        <v>NA</v>
      </c>
      <c r="W117" s="348"/>
      <c r="X117" s="77" t="s">
        <v>145</v>
      </c>
    </row>
    <row r="118" spans="1:24" s="4" customFormat="1">
      <c r="A118" s="47">
        <v>105</v>
      </c>
      <c r="B118" s="26" t="s">
        <v>170</v>
      </c>
      <c r="C118" s="26"/>
      <c r="D118" s="26"/>
      <c r="E118" s="98"/>
      <c r="F118" s="98"/>
      <c r="G118" s="98"/>
      <c r="H118" s="98"/>
      <c r="I118" s="98"/>
      <c r="J118" s="98"/>
      <c r="K118" s="98"/>
      <c r="L118" s="98"/>
      <c r="M118" s="98"/>
      <c r="N118" s="26"/>
      <c r="O118" s="26">
        <f>SUM(O111:O117)</f>
        <v>0</v>
      </c>
      <c r="P118" s="26">
        <f>SUM(P111:P117)</f>
        <v>53432</v>
      </c>
      <c r="Q118" s="26">
        <f>SUM(Q111:Q117)</f>
        <v>-53432</v>
      </c>
      <c r="R118" s="27">
        <f t="shared" si="66"/>
        <v>-1</v>
      </c>
      <c r="T118" s="26">
        <f>SUM(T111:T117)</f>
        <v>27604.170000000002</v>
      </c>
      <c r="U118" s="26">
        <f>SUM(U111:U117)</f>
        <v>48979.37</v>
      </c>
      <c r="V118" s="27">
        <f t="shared" si="67"/>
        <v>-0.4364123099174203</v>
      </c>
      <c r="W118" s="84"/>
      <c r="X118" s="68"/>
    </row>
    <row r="119" spans="1:24" ht="6" customHeight="1">
      <c r="A119" s="47">
        <v>106</v>
      </c>
      <c r="R119" s="7"/>
      <c r="W119" s="82"/>
      <c r="X119" s="66"/>
    </row>
    <row r="120" spans="1:24">
      <c r="A120" s="47">
        <v>107</v>
      </c>
      <c r="B120" s="4" t="s">
        <v>50</v>
      </c>
      <c r="R120" s="7"/>
      <c r="W120" s="82"/>
      <c r="X120" s="66"/>
    </row>
    <row r="121" spans="1:24">
      <c r="A121" s="47">
        <v>108</v>
      </c>
      <c r="C121" s="280" t="s">
        <v>115</v>
      </c>
      <c r="D121" s="292"/>
      <c r="E121" s="293"/>
      <c r="F121" s="294"/>
      <c r="G121" s="294"/>
      <c r="H121" s="294"/>
      <c r="I121" s="294"/>
      <c r="J121" s="294"/>
      <c r="K121" s="294"/>
      <c r="L121" s="294"/>
      <c r="M121" s="294"/>
      <c r="N121" s="349"/>
      <c r="O121" s="311">
        <f>ROUND(+P121*(1+$F$78),0)</f>
        <v>15918</v>
      </c>
      <c r="P121" s="277">
        <v>15606</v>
      </c>
      <c r="Q121" s="278">
        <f t="shared" ref="Q121:Q130" si="71">+O121-P121</f>
        <v>312</v>
      </c>
      <c r="R121" s="279">
        <f t="shared" ref="R121:R131" si="72">IF(P121=0,"NA",(+O121-P121)/P121)</f>
        <v>1.9992310649750097E-2</v>
      </c>
      <c r="S121" s="280"/>
      <c r="T121" s="277">
        <v>14305.5</v>
      </c>
      <c r="U121" s="277">
        <v>14305.5</v>
      </c>
      <c r="V121" s="279">
        <f t="shared" ref="V121:V131" si="73">IF(U121=0,"NA",(+T121-U121)/U121)</f>
        <v>0</v>
      </c>
      <c r="W121" s="281" t="s">
        <v>179</v>
      </c>
      <c r="X121" s="65" t="s">
        <v>163</v>
      </c>
    </row>
    <row r="122" spans="1:24">
      <c r="C122" s="280" t="s">
        <v>318</v>
      </c>
      <c r="D122" s="292"/>
      <c r="E122" s="293"/>
      <c r="F122" s="294"/>
      <c r="G122" s="294"/>
      <c r="H122" s="294"/>
      <c r="I122" s="294"/>
      <c r="J122" s="294"/>
      <c r="K122" s="294"/>
      <c r="L122" s="294"/>
      <c r="M122" s="294"/>
      <c r="N122" s="349"/>
      <c r="O122" s="311">
        <f>+'Band Estimate'!C22</f>
        <v>3000</v>
      </c>
      <c r="P122" s="277">
        <v>0</v>
      </c>
      <c r="Q122" s="278">
        <f t="shared" ref="Q122" si="74">+O122-P122</f>
        <v>3000</v>
      </c>
      <c r="R122" s="279" t="str">
        <f t="shared" ref="R122" si="75">IF(P122=0,"NA",(+O122-P122)/P122)</f>
        <v>NA</v>
      </c>
      <c r="S122" s="280"/>
      <c r="T122" s="277">
        <v>0</v>
      </c>
      <c r="U122" s="277">
        <v>0</v>
      </c>
      <c r="V122" s="279" t="str">
        <f t="shared" ref="V122" si="76">IF(U122=0,"NA",(+T122-U122)/U122)</f>
        <v>NA</v>
      </c>
      <c r="W122" s="281" t="s">
        <v>389</v>
      </c>
      <c r="X122" s="65" t="s">
        <v>163</v>
      </c>
    </row>
    <row r="123" spans="1:24">
      <c r="A123" s="47">
        <v>109</v>
      </c>
      <c r="C123" s="285" t="s">
        <v>51</v>
      </c>
      <c r="D123" s="295"/>
      <c r="E123" s="296"/>
      <c r="F123" s="297"/>
      <c r="G123" s="297"/>
      <c r="H123" s="297"/>
      <c r="I123" s="297"/>
      <c r="J123" s="297"/>
      <c r="K123" s="297"/>
      <c r="L123" s="297"/>
      <c r="M123" s="297"/>
      <c r="N123" s="350"/>
      <c r="O123" s="282">
        <v>500</v>
      </c>
      <c r="P123" s="282">
        <v>500</v>
      </c>
      <c r="Q123" s="283">
        <f t="shared" si="71"/>
        <v>0</v>
      </c>
      <c r="R123" s="284">
        <f t="shared" si="72"/>
        <v>0</v>
      </c>
      <c r="S123" s="285"/>
      <c r="T123" s="282">
        <v>100</v>
      </c>
      <c r="U123" s="282">
        <v>458.37</v>
      </c>
      <c r="V123" s="284">
        <f t="shared" si="73"/>
        <v>-0.7818356349673844</v>
      </c>
      <c r="W123" s="351"/>
      <c r="X123" s="65" t="s">
        <v>166</v>
      </c>
    </row>
    <row r="124" spans="1:24" ht="28.5" customHeight="1">
      <c r="A124" s="47">
        <v>110</v>
      </c>
      <c r="C124" s="285" t="s">
        <v>52</v>
      </c>
      <c r="D124" s="295"/>
      <c r="E124" s="296"/>
      <c r="F124" s="297"/>
      <c r="G124" s="297"/>
      <c r="H124" s="297"/>
      <c r="I124" s="297"/>
      <c r="J124" s="297"/>
      <c r="K124" s="297"/>
      <c r="L124" s="297"/>
      <c r="M124" s="297"/>
      <c r="N124" s="350"/>
      <c r="O124" s="319">
        <f>+'Band Estimate'!C39</f>
        <v>13290</v>
      </c>
      <c r="P124" s="282">
        <v>15318</v>
      </c>
      <c r="Q124" s="283">
        <f t="shared" si="71"/>
        <v>-2028</v>
      </c>
      <c r="R124" s="284">
        <f t="shared" si="72"/>
        <v>-0.13239326282804545</v>
      </c>
      <c r="S124" s="285"/>
      <c r="T124" s="282">
        <v>14789.32</v>
      </c>
      <c r="U124" s="282">
        <v>14041.94</v>
      </c>
      <c r="V124" s="284">
        <f t="shared" si="73"/>
        <v>5.3224839302831319E-2</v>
      </c>
      <c r="W124" s="286" t="str">
        <f>"2019:  Paid per Performance and Practise times.  2018:  Increase for Music of "&amp;F78*100&amp;"% at 75% of year for not playing in the summer"</f>
        <v>2019:  Paid per Performance and Practise times.  2018:  Increase for Music of 2% at 75% of year for not playing in the summer</v>
      </c>
      <c r="X124" s="65" t="s">
        <v>165</v>
      </c>
    </row>
    <row r="125" spans="1:24" ht="29">
      <c r="A125" s="47">
        <v>110</v>
      </c>
      <c r="C125" s="500" t="s">
        <v>403</v>
      </c>
      <c r="D125" s="500"/>
      <c r="E125" s="296"/>
      <c r="F125" s="297"/>
      <c r="G125" s="297"/>
      <c r="H125" s="297"/>
      <c r="I125" s="297"/>
      <c r="J125" s="297"/>
      <c r="K125" s="297"/>
      <c r="L125" s="297"/>
      <c r="M125" s="297"/>
      <c r="N125" s="350"/>
      <c r="O125" s="319">
        <f>+'Band Estimate'!C64</f>
        <v>3000</v>
      </c>
      <c r="P125" s="282">
        <v>5106</v>
      </c>
      <c r="Q125" s="283">
        <f t="shared" ref="Q125:Q126" si="77">+O125-P125</f>
        <v>-2106</v>
      </c>
      <c r="R125" s="284">
        <f t="shared" ref="R125:R126" si="78">IF(P125=0,"NA",(+O125-P125)/P125)</f>
        <v>-0.41245593419506466</v>
      </c>
      <c r="S125" s="285"/>
      <c r="T125" s="282">
        <v>2550</v>
      </c>
      <c r="U125" s="282">
        <v>4680.5</v>
      </c>
      <c r="V125" s="284">
        <f t="shared" ref="V125:V126" si="79">IF(U125=0,"NA",(+T125-U125)/U125)</f>
        <v>-0.45518641170815083</v>
      </c>
      <c r="W125" s="286" t="s">
        <v>398</v>
      </c>
      <c r="X125" s="65" t="s">
        <v>165</v>
      </c>
    </row>
    <row r="126" spans="1:24">
      <c r="C126" s="285" t="s">
        <v>395</v>
      </c>
      <c r="D126" s="295"/>
      <c r="E126" s="296"/>
      <c r="F126" s="297"/>
      <c r="G126" s="297"/>
      <c r="H126" s="297"/>
      <c r="I126" s="297"/>
      <c r="J126" s="297"/>
      <c r="K126" s="297"/>
      <c r="L126" s="297"/>
      <c r="M126" s="297"/>
      <c r="N126" s="350"/>
      <c r="O126" s="319">
        <f>+'Band Estimate'!C52</f>
        <v>3350</v>
      </c>
      <c r="P126" s="282">
        <v>0</v>
      </c>
      <c r="Q126" s="283">
        <f t="shared" si="77"/>
        <v>3350</v>
      </c>
      <c r="R126" s="284" t="str">
        <f t="shared" si="78"/>
        <v>NA</v>
      </c>
      <c r="S126" s="285"/>
      <c r="T126" s="282">
        <v>0</v>
      </c>
      <c r="U126" s="282">
        <v>0</v>
      </c>
      <c r="V126" s="284" t="str">
        <f t="shared" si="79"/>
        <v>NA</v>
      </c>
      <c r="W126" s="351" t="s">
        <v>396</v>
      </c>
      <c r="X126" s="65"/>
    </row>
    <row r="127" spans="1:24">
      <c r="A127" s="47">
        <v>111</v>
      </c>
      <c r="C127" s="285" t="s">
        <v>53</v>
      </c>
      <c r="D127" s="295"/>
      <c r="E127" s="296"/>
      <c r="F127" s="297"/>
      <c r="G127" s="297"/>
      <c r="H127" s="297"/>
      <c r="I127" s="297"/>
      <c r="J127" s="297"/>
      <c r="K127" s="297"/>
      <c r="L127" s="297"/>
      <c r="M127" s="297"/>
      <c r="N127" s="350"/>
      <c r="O127" s="319">
        <f>ROUND(+P127*(1+$F$78),0)</f>
        <v>7484</v>
      </c>
      <c r="P127" s="282">
        <v>7337</v>
      </c>
      <c r="Q127" s="283">
        <f t="shared" si="71"/>
        <v>147</v>
      </c>
      <c r="R127" s="284">
        <f t="shared" si="72"/>
        <v>2.0035436827041026E-2</v>
      </c>
      <c r="S127" s="285"/>
      <c r="T127" s="282">
        <v>6267.65</v>
      </c>
      <c r="U127" s="282">
        <v>6603.3</v>
      </c>
      <c r="V127" s="284">
        <f t="shared" si="73"/>
        <v>-5.0830645283418976E-2</v>
      </c>
      <c r="W127" s="286" t="s">
        <v>180</v>
      </c>
      <c r="X127" s="65" t="s">
        <v>164</v>
      </c>
    </row>
    <row r="128" spans="1:24">
      <c r="A128" s="47">
        <v>112</v>
      </c>
      <c r="C128" s="285" t="s">
        <v>54</v>
      </c>
      <c r="D128" s="295"/>
      <c r="E128" s="296"/>
      <c r="F128" s="297"/>
      <c r="G128" s="297"/>
      <c r="H128" s="336">
        <f>ROUND(+$P128*(1+$F$78),0)</f>
        <v>1785</v>
      </c>
      <c r="I128" s="336"/>
      <c r="J128" s="336"/>
      <c r="K128" s="336"/>
      <c r="L128" s="336"/>
      <c r="M128" s="336"/>
      <c r="N128" s="285"/>
      <c r="O128" s="319">
        <f>ROUND(+P128*(1+$F$78),0)</f>
        <v>1785</v>
      </c>
      <c r="P128" s="282">
        <v>1750</v>
      </c>
      <c r="Q128" s="283">
        <f t="shared" si="71"/>
        <v>35</v>
      </c>
      <c r="R128" s="284">
        <f t="shared" si="72"/>
        <v>0.02</v>
      </c>
      <c r="S128" s="285"/>
      <c r="T128" s="282">
        <v>1458.3</v>
      </c>
      <c r="U128" s="282">
        <v>1604.13</v>
      </c>
      <c r="V128" s="284">
        <f t="shared" si="73"/>
        <v>-9.0909090909090995E-2</v>
      </c>
      <c r="W128" s="286" t="s">
        <v>181</v>
      </c>
      <c r="X128" s="65" t="s">
        <v>166</v>
      </c>
    </row>
    <row r="129" spans="1:26">
      <c r="C129" s="285" t="s">
        <v>112</v>
      </c>
      <c r="D129" s="295"/>
      <c r="E129" s="506" t="s">
        <v>186</v>
      </c>
      <c r="F129" s="507"/>
      <c r="G129" s="507"/>
      <c r="H129" s="507"/>
      <c r="I129" s="507"/>
      <c r="J129" s="507"/>
      <c r="K129" s="507"/>
      <c r="L129" s="507"/>
      <c r="M129" s="507"/>
      <c r="N129" s="507"/>
      <c r="O129" s="303">
        <v>0</v>
      </c>
      <c r="P129" s="282">
        <v>1200</v>
      </c>
      <c r="Q129" s="283">
        <f t="shared" si="71"/>
        <v>-1200</v>
      </c>
      <c r="R129" s="284">
        <f t="shared" ref="R129" si="80">IF(P129=0,"NA",(+O129-P129)/P129)</f>
        <v>-1</v>
      </c>
      <c r="S129" s="285"/>
      <c r="T129" s="303">
        <v>800</v>
      </c>
      <c r="U129" s="282">
        <v>1100</v>
      </c>
      <c r="V129" s="284">
        <f t="shared" ref="V129" si="81">IF(U129=0,"NA",(+T129-U129)/U129)</f>
        <v>-0.27272727272727271</v>
      </c>
      <c r="W129" s="286" t="s">
        <v>390</v>
      </c>
      <c r="X129" s="78" t="s">
        <v>162</v>
      </c>
    </row>
    <row r="130" spans="1:26">
      <c r="A130" s="47">
        <v>113</v>
      </c>
      <c r="C130" s="290" t="s">
        <v>116</v>
      </c>
      <c r="D130" s="298"/>
      <c r="E130" s="504">
        <f>Bud_Yr</f>
        <v>2019</v>
      </c>
      <c r="F130" s="505"/>
      <c r="G130" s="505"/>
      <c r="H130" s="505"/>
      <c r="I130" s="505">
        <f>Bud_Yr-1</f>
        <v>2018</v>
      </c>
      <c r="J130" s="505"/>
      <c r="K130" s="505"/>
      <c r="L130" s="505"/>
      <c r="M130" s="352">
        <f>Bud_Yr-2</f>
        <v>2017</v>
      </c>
      <c r="N130" s="352">
        <v>2016</v>
      </c>
      <c r="O130" s="333">
        <f>ROUND(+P130*(1+$F$78),0)</f>
        <v>2759</v>
      </c>
      <c r="P130" s="287">
        <v>2705</v>
      </c>
      <c r="Q130" s="288">
        <f t="shared" si="71"/>
        <v>54</v>
      </c>
      <c r="R130" s="289">
        <f t="shared" si="72"/>
        <v>1.9963031423290204E-2</v>
      </c>
      <c r="S130" s="290"/>
      <c r="T130" s="287">
        <v>2775</v>
      </c>
      <c r="U130" s="287">
        <v>2479.62</v>
      </c>
      <c r="V130" s="289">
        <f t="shared" si="73"/>
        <v>0.11912309144143059</v>
      </c>
      <c r="W130" s="291" t="s">
        <v>214</v>
      </c>
      <c r="X130" s="65" t="s">
        <v>166</v>
      </c>
    </row>
    <row r="131" spans="1:26" s="4" customFormat="1" ht="15" thickBot="1">
      <c r="A131" s="47">
        <v>114</v>
      </c>
      <c r="B131" s="26" t="s">
        <v>55</v>
      </c>
      <c r="C131" s="26"/>
      <c r="D131" s="26"/>
      <c r="E131" s="106" t="s">
        <v>184</v>
      </c>
      <c r="F131" s="107" t="s">
        <v>185</v>
      </c>
      <c r="G131" s="107" t="s">
        <v>188</v>
      </c>
      <c r="H131" s="107" t="s">
        <v>183</v>
      </c>
      <c r="I131" s="107" t="s">
        <v>184</v>
      </c>
      <c r="J131" s="107" t="s">
        <v>185</v>
      </c>
      <c r="K131" s="107" t="s">
        <v>188</v>
      </c>
      <c r="L131" s="107" t="s">
        <v>183</v>
      </c>
      <c r="M131" s="108" t="s">
        <v>185</v>
      </c>
      <c r="N131" s="108" t="s">
        <v>185</v>
      </c>
      <c r="O131" s="26">
        <f>SUM(O121:O130)</f>
        <v>51086</v>
      </c>
      <c r="P131" s="26">
        <f>SUM(P121:P130)</f>
        <v>49522</v>
      </c>
      <c r="Q131" s="26">
        <f>SUM(Q121:Q130)</f>
        <v>1564</v>
      </c>
      <c r="R131" s="27">
        <f t="shared" si="72"/>
        <v>3.1581923185654857E-2</v>
      </c>
      <c r="T131" s="26">
        <f>SUM(T121:T130)</f>
        <v>43045.770000000004</v>
      </c>
      <c r="U131" s="26">
        <f>SUM(U121:U130)</f>
        <v>45273.36</v>
      </c>
      <c r="V131" s="27">
        <f t="shared" si="73"/>
        <v>-4.9203107522834542E-2</v>
      </c>
      <c r="W131" s="84"/>
      <c r="X131" s="68"/>
    </row>
    <row r="132" spans="1:26" ht="6.75" customHeight="1">
      <c r="A132" s="47">
        <v>115</v>
      </c>
      <c r="R132" s="7"/>
      <c r="W132" s="82"/>
      <c r="X132" s="66"/>
    </row>
    <row r="133" spans="1:26" ht="14.25" customHeight="1">
      <c r="A133" s="47">
        <v>116</v>
      </c>
      <c r="B133" s="4" t="s">
        <v>56</v>
      </c>
      <c r="N133" s="28"/>
      <c r="O133" s="28"/>
      <c r="P133" s="28"/>
      <c r="Q133" s="28"/>
      <c r="R133" s="7"/>
      <c r="W133" s="82"/>
      <c r="X133" s="66"/>
      <c r="Y133" s="42"/>
    </row>
    <row r="134" spans="1:26" ht="27.5" customHeight="1">
      <c r="A134" s="47">
        <v>117</v>
      </c>
      <c r="C134" s="280" t="s">
        <v>101</v>
      </c>
      <c r="D134" s="292"/>
      <c r="E134" s="353"/>
      <c r="F134" s="375">
        <v>52</v>
      </c>
      <c r="G134" s="353"/>
      <c r="H134" s="354">
        <f>+$F$77</f>
        <v>0.02</v>
      </c>
      <c r="I134" s="353">
        <v>17</v>
      </c>
      <c r="J134" s="355">
        <v>15.08</v>
      </c>
      <c r="K134" s="353">
        <v>52</v>
      </c>
      <c r="L134" s="279">
        <f>IF(M134=0,0,(+J134-M134)/M134)</f>
        <v>2.0297699594046058E-2</v>
      </c>
      <c r="M134" s="356">
        <v>14.78</v>
      </c>
      <c r="N134" s="356">
        <v>14.42</v>
      </c>
      <c r="O134" s="311">
        <f>ROUND(E134*F134*G134,0)</f>
        <v>0</v>
      </c>
      <c r="P134" s="311">
        <f>ROUND(I134*J134*K134,0)</f>
        <v>13331</v>
      </c>
      <c r="Q134" s="278">
        <f t="shared" ref="Q134:Q147" si="82">+O134-P134</f>
        <v>-13331</v>
      </c>
      <c r="R134" s="279">
        <f t="shared" ref="R134:R149" si="83">IF(P134=0,"NA",(+O134-P134)/P134)</f>
        <v>-1</v>
      </c>
      <c r="S134" s="280"/>
      <c r="T134" s="277">
        <v>5958.55</v>
      </c>
      <c r="U134" s="277">
        <v>12220.12</v>
      </c>
      <c r="V134" s="279">
        <v>46.81</v>
      </c>
      <c r="W134" s="281" t="str">
        <f>"Kim Saunders:  "&amp;Bud_Yr&amp;":  avg "&amp;E134&amp;" hrs/week at $"&amp;F134&amp;"/hr ("&amp;ROUND(H134*100,1)&amp;"% incr.) for "&amp;G134&amp;" weeks.                                         "&amp;Bud_Yr-1&amp;":  avg "&amp;I134&amp;" hrs/week at $"&amp;J134&amp;"/hr ("&amp;ROUND(L134*100,1)&amp;"% incr.) for "&amp;K134&amp;" weeks.   "&amp;Bud_Yr-2&amp;":  $"&amp;M134&amp;"/hr."</f>
        <v>Kim Saunders:  2019:  avg  hrs/week at $52/hr (2% incr.) for  weeks.                                         2018:  avg 17 hrs/week at $15.08/hr (2% incr.) for 52 weeks.   2017:  $14.78/hr.</v>
      </c>
      <c r="X134" s="76" t="s">
        <v>154</v>
      </c>
      <c r="Y134" s="52"/>
    </row>
    <row r="135" spans="1:26" ht="27.65" customHeight="1">
      <c r="C135" s="285" t="s">
        <v>226</v>
      </c>
      <c r="D135" s="295"/>
      <c r="E135" s="357">
        <v>40</v>
      </c>
      <c r="F135" s="358">
        <v>17</v>
      </c>
      <c r="G135" s="357">
        <v>52</v>
      </c>
      <c r="H135" s="327">
        <v>0</v>
      </c>
      <c r="I135" s="357"/>
      <c r="J135" s="297"/>
      <c r="K135" s="358"/>
      <c r="L135" s="284">
        <f>IF(M135=0,0,(+K135-M135)/M135)</f>
        <v>0</v>
      </c>
      <c r="M135" s="360"/>
      <c r="N135" s="350"/>
      <c r="O135" s="311">
        <f>ROUND(E135*F135*G135,0)</f>
        <v>35360</v>
      </c>
      <c r="P135" s="303">
        <v>0</v>
      </c>
      <c r="Q135" s="283">
        <f t="shared" ref="Q135:Q136" si="84">+O135-P135</f>
        <v>35360</v>
      </c>
      <c r="R135" s="284" t="str">
        <f t="shared" ref="R135:R136" si="85">IF(P135=0,"NA",(+O135-P135)/P135)</f>
        <v>NA</v>
      </c>
      <c r="S135" s="285"/>
      <c r="T135" s="282">
        <v>10874.9</v>
      </c>
      <c r="U135" s="282">
        <v>0</v>
      </c>
      <c r="V135" s="284">
        <v>46.81</v>
      </c>
      <c r="W135" s="286" t="s">
        <v>313</v>
      </c>
      <c r="X135" s="76"/>
      <c r="Y135" s="52"/>
    </row>
    <row r="136" spans="1:26">
      <c r="A136" s="47">
        <v>122</v>
      </c>
      <c r="C136" s="285" t="s">
        <v>228</v>
      </c>
      <c r="D136" s="295"/>
      <c r="E136" s="357"/>
      <c r="F136" s="361"/>
      <c r="G136" s="357"/>
      <c r="H136" s="362"/>
      <c r="I136" s="357"/>
      <c r="J136" s="358"/>
      <c r="K136" s="357"/>
      <c r="L136" s="284"/>
      <c r="M136" s="360"/>
      <c r="N136" s="283"/>
      <c r="O136" s="303">
        <v>1000</v>
      </c>
      <c r="P136" s="303">
        <v>0</v>
      </c>
      <c r="Q136" s="283">
        <f t="shared" si="84"/>
        <v>1000</v>
      </c>
      <c r="R136" s="284" t="str">
        <f t="shared" si="85"/>
        <v>NA</v>
      </c>
      <c r="S136" s="285"/>
      <c r="T136" s="282">
        <v>1192.25</v>
      </c>
      <c r="U136" s="282">
        <v>0</v>
      </c>
      <c r="V136" s="284" t="str">
        <f t="shared" ref="V136" si="86">IF(U136=0,"NA",(+T136-U136)/U136)</f>
        <v>NA</v>
      </c>
      <c r="W136" s="286" t="s">
        <v>245</v>
      </c>
      <c r="X136" s="69" t="s">
        <v>130</v>
      </c>
      <c r="Y136" s="52"/>
    </row>
    <row r="137" spans="1:26" ht="29.4" customHeight="1">
      <c r="A137" s="47">
        <v>118</v>
      </c>
      <c r="C137" s="285" t="s">
        <v>58</v>
      </c>
      <c r="D137" s="295"/>
      <c r="E137" s="363">
        <v>25</v>
      </c>
      <c r="F137" s="361">
        <f>ROUND(+J137*(1+H137),2)</f>
        <v>13.37</v>
      </c>
      <c r="G137" s="357">
        <v>52</v>
      </c>
      <c r="H137" s="359">
        <f>+$F$77</f>
        <v>0.02</v>
      </c>
      <c r="I137" s="357">
        <v>25</v>
      </c>
      <c r="J137" s="358">
        <v>13.11</v>
      </c>
      <c r="K137" s="357">
        <v>52</v>
      </c>
      <c r="L137" s="284">
        <f>IF(M137=0,0,(+J137-M137)/M137)</f>
        <v>2.0233463035019439E-2</v>
      </c>
      <c r="M137" s="360">
        <v>12.85</v>
      </c>
      <c r="N137" s="350"/>
      <c r="O137" s="319">
        <f>ROUND((E137*F137*G137)+(E138*F138*G138)+(E139*F139*G139),0)</f>
        <v>33465</v>
      </c>
      <c r="P137" s="319">
        <f>ROUND((I137*J137*K137)+(I138*J138*K138)+(I139*J139*K139),0)</f>
        <v>33288</v>
      </c>
      <c r="Q137" s="283">
        <f t="shared" si="82"/>
        <v>177</v>
      </c>
      <c r="R137" s="284">
        <f t="shared" si="83"/>
        <v>5.3172314347512614E-3</v>
      </c>
      <c r="S137" s="285"/>
      <c r="T137" s="303">
        <v>27050.48</v>
      </c>
      <c r="U137" s="282">
        <v>30514</v>
      </c>
      <c r="V137" s="284">
        <f t="shared" ref="V137:V149" si="87">IF(U137=0,"NA",(+T137-U137)/U137)</f>
        <v>-0.11350593170348039</v>
      </c>
      <c r="W137" s="286" t="str">
        <f>"Mark Henkel:  "&amp;Bud_Yr&amp;":  avg "&amp;E137&amp;" hrs/week at $"&amp;F137&amp;"/hr ("&amp;ROUND(H137*100,1)&amp;"% incr.) for "&amp;G137&amp;" weeks.                                       "&amp;Bud_Yr-1&amp;":  avg "&amp;I137&amp;" hrs/week at $"&amp;J137&amp;"/hr ("&amp;ROUND(L137*100,1)&amp;"% incr.) for "&amp;K137&amp;" weeks.   "</f>
        <v xml:space="preserve">Mark Henkel:  2019:  avg 25 hrs/week at $13.37/hr (2% incr.) for 52 weeks.                                       2018:  avg 25 hrs/week at $13.11/hr (2% incr.) for 52 weeks.   </v>
      </c>
      <c r="X137" s="65" t="s">
        <v>132</v>
      </c>
      <c r="Z137" s="87"/>
    </row>
    <row r="138" spans="1:26" ht="29">
      <c r="C138" s="285"/>
      <c r="D138" s="295"/>
      <c r="E138" s="363">
        <v>20</v>
      </c>
      <c r="F138" s="361">
        <f>ROUND(+J138*(1+H138),2)</f>
        <v>11.34</v>
      </c>
      <c r="G138" s="357">
        <v>52</v>
      </c>
      <c r="H138" s="359">
        <f>+$F$77</f>
        <v>0.02</v>
      </c>
      <c r="I138" s="357">
        <v>20</v>
      </c>
      <c r="J138" s="358">
        <v>11.12</v>
      </c>
      <c r="K138" s="357">
        <v>52</v>
      </c>
      <c r="L138" s="284">
        <f>IF(M138=0,0,(+J138-M138)/M138)</f>
        <v>2.0183486238532004E-2</v>
      </c>
      <c r="M138" s="358">
        <v>10.9</v>
      </c>
      <c r="N138" s="360">
        <v>10.7</v>
      </c>
      <c r="O138" s="319"/>
      <c r="P138" s="319"/>
      <c r="Q138" s="283"/>
      <c r="R138" s="284"/>
      <c r="S138" s="285"/>
      <c r="T138" s="303"/>
      <c r="U138" s="282"/>
      <c r="V138" s="284"/>
      <c r="W138" s="286" t="str">
        <f>"Rebecca Arreola:  "&amp;Bud_Yr&amp;":  avg "&amp;E138&amp;" hrs/week at $"&amp;F138&amp;"/hr ("&amp;ROUND(H138*100,1)&amp;"% incr.) for "&amp;G138&amp;" weeks.                                    "&amp;Bud_Yr-1&amp;":  avg "&amp;I138&amp;" hrs/week at $"&amp;J138&amp;"/hr ("&amp;ROUND(L138*100,1)&amp;"% incr.) for "&amp;K138&amp;" weeks.   "&amp;Bud_Yr-2&amp;":  $"&amp;M138&amp;"/hour."</f>
        <v>Rebecca Arreola:  2019:  avg 20 hrs/week at $11.34/hr (2% incr.) for 52 weeks.                                    2018:  avg 20 hrs/week at $11.12/hr (2% incr.) for 52 weeks.   2017:  $10.9/hour.</v>
      </c>
      <c r="X138" s="65"/>
      <c r="Y138" s="28"/>
      <c r="Z138" s="87"/>
    </row>
    <row r="139" spans="1:26" ht="29">
      <c r="C139" s="285"/>
      <c r="D139" s="295"/>
      <c r="E139" s="363">
        <v>7.5</v>
      </c>
      <c r="F139" s="358">
        <v>11</v>
      </c>
      <c r="G139" s="357">
        <v>52</v>
      </c>
      <c r="H139" s="362">
        <v>0</v>
      </c>
      <c r="I139" s="363">
        <v>8</v>
      </c>
      <c r="J139" s="358">
        <v>11.25</v>
      </c>
      <c r="K139" s="357">
        <v>52</v>
      </c>
      <c r="L139" s="284">
        <f>IF(M139=0,0,(+J139-M139)/M139)</f>
        <v>0</v>
      </c>
      <c r="M139" s="358">
        <v>11.25</v>
      </c>
      <c r="N139" s="360">
        <v>7.77</v>
      </c>
      <c r="O139" s="319"/>
      <c r="P139" s="319"/>
      <c r="Q139" s="283"/>
      <c r="R139" s="284"/>
      <c r="S139" s="285"/>
      <c r="T139" s="303"/>
      <c r="U139" s="282"/>
      <c r="V139" s="284"/>
      <c r="W139" s="286" t="str">
        <f>"New for "&amp;Bud_Yr&amp;":  avg "&amp;E139&amp;" hrs/week at $"&amp;F139&amp;"/hr ("&amp;ROUND(H139*100,1)&amp;"% incr.) for "&amp;G139&amp;" weeks.   Was Del Alton for                                                  "&amp;Bud_Yr-1&amp;":  avg "&amp;I139&amp;" hrs/week at $"&amp;J139&amp;"/hr ("&amp;ROUND(L139*100,1)&amp;"% incr.) for "&amp;K139&amp;" weeks.   "&amp;Bud_Yr-2&amp;":  $"&amp;M139&amp;"/hour."</f>
        <v>New for 2019:  avg 7.5 hrs/week at $11/hr (0% incr.) for 52 weeks.   Was Del Alton for                                                  2018:  avg 8 hrs/week at $11.25/hr (0% incr.) for 52 weeks.   2017:  $11.25/hour.</v>
      </c>
      <c r="X139" s="65"/>
      <c r="Y139" s="28"/>
      <c r="Z139" s="87"/>
    </row>
    <row r="140" spans="1:26">
      <c r="A140" s="47">
        <v>119</v>
      </c>
      <c r="C140" s="285" t="s">
        <v>59</v>
      </c>
      <c r="D140" s="295"/>
      <c r="E140" s="296"/>
      <c r="F140" s="297"/>
      <c r="G140" s="297"/>
      <c r="H140" s="297"/>
      <c r="I140" s="297"/>
      <c r="J140" s="297"/>
      <c r="K140" s="297"/>
      <c r="L140" s="297"/>
      <c r="M140" s="297"/>
      <c r="N140" s="285"/>
      <c r="O140" s="303">
        <v>400</v>
      </c>
      <c r="P140" s="282">
        <v>400</v>
      </c>
      <c r="Q140" s="283">
        <f t="shared" si="82"/>
        <v>0</v>
      </c>
      <c r="R140" s="284">
        <f t="shared" si="83"/>
        <v>0</v>
      </c>
      <c r="S140" s="285"/>
      <c r="T140" s="282">
        <v>344.76</v>
      </c>
      <c r="U140" s="282">
        <v>366.63</v>
      </c>
      <c r="V140" s="284">
        <f t="shared" si="87"/>
        <v>-5.9651419687423303E-2</v>
      </c>
      <c r="W140" s="286"/>
      <c r="X140" s="69"/>
      <c r="Z140" s="87"/>
    </row>
    <row r="141" spans="1:26">
      <c r="A141" s="47">
        <v>120</v>
      </c>
      <c r="C141" s="285" t="s">
        <v>104</v>
      </c>
      <c r="D141" s="295"/>
      <c r="E141" s="296"/>
      <c r="F141" s="297"/>
      <c r="G141" s="297"/>
      <c r="H141" s="297"/>
      <c r="I141" s="297"/>
      <c r="J141" s="297"/>
      <c r="K141" s="297"/>
      <c r="L141" s="297"/>
      <c r="M141" s="297"/>
      <c r="N141" s="285"/>
      <c r="O141" s="303">
        <f>700</f>
        <v>700</v>
      </c>
      <c r="P141" s="282">
        <v>700</v>
      </c>
      <c r="Q141" s="283">
        <f t="shared" si="82"/>
        <v>0</v>
      </c>
      <c r="R141" s="284">
        <f t="shared" si="83"/>
        <v>0</v>
      </c>
      <c r="S141" s="285"/>
      <c r="T141" s="282">
        <v>0</v>
      </c>
      <c r="U141" s="282">
        <v>641.63</v>
      </c>
      <c r="V141" s="284">
        <f t="shared" si="87"/>
        <v>-1</v>
      </c>
      <c r="W141" s="286"/>
      <c r="X141" s="69"/>
      <c r="Z141" s="87"/>
    </row>
    <row r="142" spans="1:26" ht="14" customHeight="1">
      <c r="C142" s="285" t="s">
        <v>123</v>
      </c>
      <c r="D142" s="295"/>
      <c r="E142" s="296"/>
      <c r="F142" s="297"/>
      <c r="G142" s="297"/>
      <c r="H142" s="364"/>
      <c r="I142" s="364"/>
      <c r="J142" s="364"/>
      <c r="K142" s="364"/>
      <c r="L142" s="364"/>
      <c r="M142" s="364"/>
      <c r="N142" s="365"/>
      <c r="O142" s="303">
        <f>+'Band Estimate'!C72</f>
        <v>925</v>
      </c>
      <c r="P142" s="282">
        <v>1000</v>
      </c>
      <c r="Q142" s="283">
        <f t="shared" si="82"/>
        <v>-75</v>
      </c>
      <c r="R142" s="284">
        <f t="shared" ref="R142" si="88">IF(P142=0,"NA",(+O142-P142)/P142)</f>
        <v>-7.4999999999999997E-2</v>
      </c>
      <c r="S142" s="285"/>
      <c r="T142" s="282">
        <v>690</v>
      </c>
      <c r="U142" s="282">
        <v>888.88</v>
      </c>
      <c r="V142" s="284">
        <f t="shared" ref="V142" si="89">IF(U142=0,"NA",(+T142-U142)/U142)</f>
        <v>-0.22374223742237423</v>
      </c>
      <c r="W142" s="286" t="s">
        <v>182</v>
      </c>
      <c r="X142" s="65" t="s">
        <v>146</v>
      </c>
      <c r="Z142" s="87"/>
    </row>
    <row r="143" spans="1:26" ht="29">
      <c r="C143" s="285" t="s">
        <v>190</v>
      </c>
      <c r="D143" s="295"/>
      <c r="E143" s="357"/>
      <c r="F143" s="361">
        <f>ROUND(+J143*(1+H143),2)</f>
        <v>14.64</v>
      </c>
      <c r="G143" s="357"/>
      <c r="H143" s="359">
        <f>+$F$77</f>
        <v>0.02</v>
      </c>
      <c r="I143" s="357">
        <v>27</v>
      </c>
      <c r="J143" s="358">
        <v>14.35</v>
      </c>
      <c r="K143" s="357">
        <v>52</v>
      </c>
      <c r="L143" s="284">
        <f>IF(M143=0,0,(+J143-M143)/M143)</f>
        <v>2.4999999999999974E-2</v>
      </c>
      <c r="M143" s="358">
        <v>14</v>
      </c>
      <c r="N143" s="360">
        <v>12.12</v>
      </c>
      <c r="O143" s="319">
        <f>ROUND(E143*F143*G143,0)</f>
        <v>0</v>
      </c>
      <c r="P143" s="319">
        <f>ROUND(+I143*J143*K143,0)</f>
        <v>20147</v>
      </c>
      <c r="Q143" s="283">
        <f t="shared" ref="Q143" si="90">+O143-P143</f>
        <v>-20147</v>
      </c>
      <c r="R143" s="284">
        <f t="shared" ref="R143" si="91">IF(P143=0,"NA",(+O143-P143)/P143)</f>
        <v>-1</v>
      </c>
      <c r="S143" s="285"/>
      <c r="T143" s="282">
        <v>15722.91</v>
      </c>
      <c r="U143" s="282">
        <v>18468.12</v>
      </c>
      <c r="V143" s="284">
        <f t="shared" ref="V143" si="92">IF(U143=0,"NA",(+T143-U143)/U143)</f>
        <v>-0.14864588274280216</v>
      </c>
      <c r="W143" s="286" t="str">
        <f>"Debbie Toff:  "&amp;Bud_Yr&amp;":  avg "&amp;E143&amp;" hrs/week at $"&amp;F143&amp;"/hr ("&amp;ROUND(H143*100,1)&amp;"% incr.) for "&amp;G143&amp;" weeks.                              "&amp;Bud_Yr-1&amp;":  avg "&amp;I143&amp;" hrs/week at $"&amp;J143&amp;"/hr ("&amp;ROUND(L143*100,1)&amp;"% incr.) for "&amp;K143&amp;" weeks.   "&amp;Bud_Yr-2&amp;":  $"&amp;M143&amp;"/hour."</f>
        <v>Debbie Toff:  2019:  avg  hrs/week at $14.64/hr (2% incr.) for  weeks.                              2018:  avg 27 hrs/week at $14.35/hr (2.5% incr.) for 52 weeks.   2017:  $14/hour.</v>
      </c>
      <c r="X143" s="69"/>
      <c r="Y143" s="52"/>
    </row>
    <row r="144" spans="1:26" ht="29">
      <c r="C144" s="500" t="s">
        <v>227</v>
      </c>
      <c r="D144" s="500"/>
      <c r="E144" s="357">
        <v>15</v>
      </c>
      <c r="F144" s="361">
        <f>ROUND(+J144*(1+H144),2)</f>
        <v>14.28</v>
      </c>
      <c r="G144" s="357">
        <v>52</v>
      </c>
      <c r="H144" s="359">
        <f>+$F$77</f>
        <v>0.02</v>
      </c>
      <c r="I144" s="357">
        <v>15</v>
      </c>
      <c r="J144" s="358">
        <v>14</v>
      </c>
      <c r="K144" s="357">
        <v>52</v>
      </c>
      <c r="L144" s="284">
        <f>IF(M144=0,0,(+J144-M144)/M144)</f>
        <v>0</v>
      </c>
      <c r="M144" s="358">
        <v>14</v>
      </c>
      <c r="N144" s="285"/>
      <c r="O144" s="366">
        <f>ROUND(+E144*F144*G144,0)</f>
        <v>11138</v>
      </c>
      <c r="P144" s="319">
        <f>ROUND(+I144*J144*K144,0)</f>
        <v>10920</v>
      </c>
      <c r="Q144" s="283">
        <f t="shared" ref="Q144" si="93">+O144-P144</f>
        <v>218</v>
      </c>
      <c r="R144" s="284">
        <f t="shared" ref="R144" si="94">IF(P144=0,"NA",(+O144-P144)/P144)</f>
        <v>1.9963369963369962E-2</v>
      </c>
      <c r="S144" s="285"/>
      <c r="T144" s="282">
        <v>11156.83</v>
      </c>
      <c r="U144" s="282">
        <v>10010</v>
      </c>
      <c r="V144" s="284">
        <f>IF(U144=0,"NA",(+T144-U144)/U144)</f>
        <v>0.11456843156843156</v>
      </c>
      <c r="W144" s="286" t="str">
        <f>"Heather Keszler:  "&amp;Bud_Yr&amp;":  avg "&amp;E144&amp;" hrs/week at $"&amp;F144&amp;"/hr ("&amp;ROUND(H144*100,1)&amp;"% incr.) for "&amp;G144&amp;" weeks.                       "&amp;Bud_Yr-1&amp;":  avg "&amp;I144&amp;" hrs/week at $"&amp;J144&amp;"/hr ("&amp;ROUND(L144*100,1)&amp;"% incr.) for "&amp;K144&amp;" weeks.   "</f>
        <v xml:space="preserve">Heather Keszler:  2019:  avg 15 hrs/week at $14.28/hr (2% incr.) for 52 weeks.                       2018:  avg 15 hrs/week at $14/hr (0% incr.) for 52 weeks.   </v>
      </c>
      <c r="X144" s="66"/>
    </row>
    <row r="145" spans="1:24" ht="14.5" customHeight="1">
      <c r="A145" s="47">
        <v>123</v>
      </c>
      <c r="C145" s="285" t="s">
        <v>60</v>
      </c>
      <c r="D145" s="295"/>
      <c r="E145" s="367">
        <f>+O89+O98+O103+O108+O118+O131+O134+O135+O136+O137+O140+O141+O142+O144+O147</f>
        <v>308415.38049999997</v>
      </c>
      <c r="F145" s="367"/>
      <c r="G145" s="367"/>
      <c r="H145" s="367"/>
      <c r="I145" s="367">
        <f>+P89+P98+P103+P108+P118+P131+P134+P135+P136+P137+P140+P141+P142+P144+P147</f>
        <v>274740.84341041668</v>
      </c>
      <c r="J145" s="368"/>
      <c r="K145" s="369"/>
      <c r="L145" s="369"/>
      <c r="M145" s="370">
        <v>7.6499999999999999E-2</v>
      </c>
      <c r="N145" s="285"/>
      <c r="O145" s="319">
        <f>ROUND((+O92+O106+O107+O111+O131+O134+O135+131+O137+O142+O143+O147)*M145,0)</f>
        <v>14349</v>
      </c>
      <c r="P145" s="319">
        <f>ROUND((+P79+P92+P106+P107+P111+P134+P137+P143+P144+P142+P128+P121+P127+P129)*M145,0)</f>
        <v>17798</v>
      </c>
      <c r="Q145" s="283">
        <f t="shared" si="82"/>
        <v>-3449</v>
      </c>
      <c r="R145" s="284">
        <f t="shared" si="83"/>
        <v>-0.19378581863130689</v>
      </c>
      <c r="S145" s="285"/>
      <c r="T145" s="303">
        <v>10336.25</v>
      </c>
      <c r="U145" s="303">
        <v>16314.87</v>
      </c>
      <c r="V145" s="284">
        <f t="shared" si="87"/>
        <v>-0.36645219974170806</v>
      </c>
      <c r="W145" s="351" t="s">
        <v>271</v>
      </c>
      <c r="X145" s="69" t="s">
        <v>147</v>
      </c>
    </row>
    <row r="146" spans="1:24" ht="14.4" customHeight="1">
      <c r="A146" s="47">
        <v>124</v>
      </c>
      <c r="C146" s="290" t="s">
        <v>61</v>
      </c>
      <c r="D146" s="298"/>
      <c r="E146" s="299"/>
      <c r="F146" s="468"/>
      <c r="G146" s="468"/>
      <c r="H146" s="468"/>
      <c r="I146" s="300"/>
      <c r="J146" s="300"/>
      <c r="K146" s="300"/>
      <c r="L146" s="300"/>
      <c r="M146" s="300"/>
      <c r="N146" s="290"/>
      <c r="O146" s="304">
        <v>3384</v>
      </c>
      <c r="P146" s="287">
        <v>3115</v>
      </c>
      <c r="Q146" s="288">
        <f t="shared" si="82"/>
        <v>269</v>
      </c>
      <c r="R146" s="289">
        <f t="shared" si="83"/>
        <v>8.6356340288924555E-2</v>
      </c>
      <c r="S146" s="290"/>
      <c r="T146" s="304">
        <v>3329</v>
      </c>
      <c r="U146" s="304">
        <v>3115</v>
      </c>
      <c r="V146" s="289">
        <f t="shared" si="87"/>
        <v>6.8699839486356343E-2</v>
      </c>
      <c r="W146" s="291" t="s">
        <v>304</v>
      </c>
      <c r="X146" s="69" t="s">
        <v>148</v>
      </c>
    </row>
    <row r="147" spans="1:24">
      <c r="A147" s="47">
        <v>125</v>
      </c>
      <c r="C147" s="1" t="s">
        <v>62</v>
      </c>
      <c r="O147" s="61">
        <v>0</v>
      </c>
      <c r="P147" s="59">
        <v>0</v>
      </c>
      <c r="Q147" s="40">
        <f t="shared" si="82"/>
        <v>0</v>
      </c>
      <c r="R147" s="6" t="str">
        <f t="shared" si="83"/>
        <v>NA</v>
      </c>
      <c r="T147" s="61">
        <v>1281.75</v>
      </c>
      <c r="U147" s="61">
        <v>0</v>
      </c>
      <c r="V147" s="6" t="str">
        <f t="shared" si="87"/>
        <v>NA</v>
      </c>
      <c r="W147" s="69"/>
      <c r="X147" s="65"/>
    </row>
    <row r="148" spans="1:24" s="4" customFormat="1">
      <c r="A148" s="47">
        <v>127</v>
      </c>
      <c r="B148" s="26" t="s">
        <v>57</v>
      </c>
      <c r="C148" s="26"/>
      <c r="D148" s="26"/>
      <c r="E148" s="98"/>
      <c r="F148" s="98"/>
      <c r="G148" s="98"/>
      <c r="H148" s="98"/>
      <c r="I148" s="98"/>
      <c r="J148" s="98"/>
      <c r="K148" s="98"/>
      <c r="L148" s="98"/>
      <c r="M148" s="98"/>
      <c r="N148" s="26"/>
      <c r="O148" s="26">
        <f>SUM(O134:O147)</f>
        <v>100721</v>
      </c>
      <c r="P148" s="26">
        <f>SUM(P134:P147)</f>
        <v>100699</v>
      </c>
      <c r="Q148" s="26">
        <f>SUM(Q134:Q147)</f>
        <v>22</v>
      </c>
      <c r="R148" s="27">
        <f t="shared" si="83"/>
        <v>2.1847287460650055E-4</v>
      </c>
      <c r="T148" s="26">
        <f>SUM(T134:T147)</f>
        <v>87937.680000000008</v>
      </c>
      <c r="U148" s="26">
        <f>SUM(U134:U147)</f>
        <v>92539.249999999985</v>
      </c>
      <c r="V148" s="27">
        <f t="shared" si="87"/>
        <v>-4.9725602919841891E-2</v>
      </c>
      <c r="W148" s="84"/>
      <c r="X148" s="68"/>
    </row>
    <row r="149" spans="1:24">
      <c r="A149" s="47">
        <v>128</v>
      </c>
      <c r="B149" s="26" t="s">
        <v>63</v>
      </c>
      <c r="C149" s="26"/>
      <c r="D149" s="26"/>
      <c r="E149" s="98"/>
      <c r="F149" s="27"/>
      <c r="G149" s="27"/>
      <c r="H149" s="27"/>
      <c r="I149" s="27"/>
      <c r="J149" s="27"/>
      <c r="K149" s="27"/>
      <c r="L149" s="27"/>
      <c r="M149" s="27"/>
      <c r="N149" s="36"/>
      <c r="O149" s="26">
        <f>+O89+O98+O103+O108+O118+O131+O148</f>
        <v>326148.38049999997</v>
      </c>
      <c r="P149" s="26">
        <f>+P89+P98+P103+P108+P118+P131+P148</f>
        <v>315800.84341041668</v>
      </c>
      <c r="Q149" s="26">
        <f>+Q89+Q98+Q103+Q108+Q118+Q131+Q148</f>
        <v>10347.537089583326</v>
      </c>
      <c r="R149" s="27">
        <f t="shared" si="83"/>
        <v>3.2766021071500333E-2</v>
      </c>
      <c r="T149" s="26">
        <f>+T89+T98+T103+T108+T118+T131+T148</f>
        <v>258523.27999999997</v>
      </c>
      <c r="U149" s="26">
        <f>+U89+U98+U103+U108+U118+U131+U148</f>
        <v>289283.37</v>
      </c>
      <c r="V149" s="27">
        <f t="shared" si="87"/>
        <v>-0.10633203699196406</v>
      </c>
      <c r="W149" s="82"/>
      <c r="X149" s="66"/>
    </row>
    <row r="150" spans="1:24" ht="8.25" customHeight="1">
      <c r="A150" s="47">
        <v>129</v>
      </c>
      <c r="R150" s="7"/>
      <c r="W150" s="82"/>
      <c r="X150" s="66"/>
    </row>
    <row r="151" spans="1:24" ht="18.5">
      <c r="A151" s="47">
        <v>130</v>
      </c>
      <c r="B151" s="9" t="s">
        <v>64</v>
      </c>
      <c r="R151" s="7"/>
      <c r="W151" s="82"/>
      <c r="X151" s="66"/>
    </row>
    <row r="152" spans="1:24">
      <c r="A152" s="47">
        <v>131</v>
      </c>
      <c r="B152" s="4" t="s">
        <v>65</v>
      </c>
      <c r="R152" s="7"/>
      <c r="W152" s="82"/>
      <c r="X152" s="66"/>
    </row>
    <row r="153" spans="1:24" ht="14.4" customHeight="1">
      <c r="A153" s="47">
        <v>132</v>
      </c>
      <c r="C153" s="1" t="s">
        <v>67</v>
      </c>
      <c r="O153" s="305">
        <f>+P153*1.25</f>
        <v>10500</v>
      </c>
      <c r="P153" s="305">
        <v>8400</v>
      </c>
      <c r="Q153" s="278">
        <f t="shared" ref="Q153:Q159" si="95">+O153-P153</f>
        <v>2100</v>
      </c>
      <c r="R153" s="279">
        <f t="shared" ref="R153:R160" si="96">IF(P153=0,"NA",(+O153-P153)/P153)</f>
        <v>0.25</v>
      </c>
      <c r="S153" s="280"/>
      <c r="T153" s="277">
        <v>9609.19</v>
      </c>
      <c r="U153" s="277">
        <v>7700</v>
      </c>
      <c r="V153" s="279">
        <f t="shared" ref="V153:V160" si="97">IF(U153=0,"NA",(+T153-U153)/U153)</f>
        <v>0.2479467532467533</v>
      </c>
      <c r="W153" s="281"/>
      <c r="X153" s="65" t="s">
        <v>149</v>
      </c>
    </row>
    <row r="154" spans="1:24" ht="14.4" customHeight="1">
      <c r="A154" s="47">
        <v>133</v>
      </c>
      <c r="C154" s="1" t="s">
        <v>68</v>
      </c>
      <c r="O154" s="303">
        <f>+P154*(1+0.02)</f>
        <v>8160</v>
      </c>
      <c r="P154" s="303">
        <v>8000</v>
      </c>
      <c r="Q154" s="283">
        <f t="shared" si="95"/>
        <v>160</v>
      </c>
      <c r="R154" s="284">
        <f t="shared" si="96"/>
        <v>0.02</v>
      </c>
      <c r="S154" s="285"/>
      <c r="T154" s="282">
        <v>7398.28</v>
      </c>
      <c r="U154" s="282">
        <v>7333.37</v>
      </c>
      <c r="V154" s="284">
        <f t="shared" si="97"/>
        <v>8.8513193797667179E-3</v>
      </c>
      <c r="W154" s="329"/>
      <c r="X154" s="73" t="s">
        <v>155</v>
      </c>
    </row>
    <row r="155" spans="1:24" ht="28" customHeight="1">
      <c r="A155" s="47">
        <v>134</v>
      </c>
      <c r="C155" s="1" t="s">
        <v>69</v>
      </c>
      <c r="N155" s="5"/>
      <c r="O155" s="282">
        <v>4500</v>
      </c>
      <c r="P155" s="282">
        <v>5000</v>
      </c>
      <c r="Q155" s="283">
        <f t="shared" si="95"/>
        <v>-500</v>
      </c>
      <c r="R155" s="284">
        <f t="shared" si="96"/>
        <v>-0.1</v>
      </c>
      <c r="S155" s="285"/>
      <c r="T155" s="282">
        <v>4912.37</v>
      </c>
      <c r="U155" s="282">
        <v>4583.37</v>
      </c>
      <c r="V155" s="284">
        <f t="shared" si="97"/>
        <v>7.1781243931866731E-2</v>
      </c>
      <c r="W155" s="286" t="s">
        <v>246</v>
      </c>
      <c r="X155" s="72"/>
    </row>
    <row r="156" spans="1:24" ht="14.4" customHeight="1">
      <c r="A156" s="47">
        <v>135</v>
      </c>
      <c r="C156" s="1" t="s">
        <v>70</v>
      </c>
      <c r="O156" s="282">
        <f>+P156*(1+0.02)</f>
        <v>816</v>
      </c>
      <c r="P156" s="282">
        <v>800</v>
      </c>
      <c r="Q156" s="283">
        <f t="shared" si="95"/>
        <v>16</v>
      </c>
      <c r="R156" s="284">
        <f t="shared" si="96"/>
        <v>0.02</v>
      </c>
      <c r="S156" s="285"/>
      <c r="T156" s="282">
        <v>846.17</v>
      </c>
      <c r="U156" s="282">
        <v>800</v>
      </c>
      <c r="V156" s="284">
        <f t="shared" si="97"/>
        <v>5.7712499999999951E-2</v>
      </c>
      <c r="W156" s="286"/>
      <c r="X156" s="65"/>
    </row>
    <row r="157" spans="1:24" ht="14.4" customHeight="1">
      <c r="A157" s="47">
        <v>136</v>
      </c>
      <c r="C157" s="1" t="s">
        <v>71</v>
      </c>
      <c r="O157" s="303">
        <v>300</v>
      </c>
      <c r="P157" s="303">
        <v>300</v>
      </c>
      <c r="Q157" s="283">
        <f t="shared" si="95"/>
        <v>0</v>
      </c>
      <c r="R157" s="284">
        <f t="shared" si="96"/>
        <v>0</v>
      </c>
      <c r="S157" s="285"/>
      <c r="T157" s="282">
        <v>680.37</v>
      </c>
      <c r="U157" s="282">
        <v>300</v>
      </c>
      <c r="V157" s="284">
        <f t="shared" si="97"/>
        <v>1.2679</v>
      </c>
      <c r="W157" s="286" t="s">
        <v>247</v>
      </c>
      <c r="X157" s="73" t="s">
        <v>156</v>
      </c>
    </row>
    <row r="158" spans="1:24" ht="14.4" customHeight="1">
      <c r="A158" s="47">
        <v>137</v>
      </c>
      <c r="C158" s="1" t="s">
        <v>72</v>
      </c>
      <c r="H158" s="99"/>
      <c r="I158" s="99"/>
      <c r="J158" s="99"/>
      <c r="K158" s="99"/>
      <c r="L158" s="99"/>
      <c r="M158" s="99"/>
      <c r="O158" s="303">
        <f>50*12</f>
        <v>600</v>
      </c>
      <c r="P158" s="303">
        <v>2000</v>
      </c>
      <c r="Q158" s="283">
        <f t="shared" si="95"/>
        <v>-1400</v>
      </c>
      <c r="R158" s="284">
        <f t="shared" si="96"/>
        <v>-0.7</v>
      </c>
      <c r="S158" s="285"/>
      <c r="T158" s="282">
        <v>1568.57</v>
      </c>
      <c r="U158" s="282">
        <v>1833.37</v>
      </c>
      <c r="V158" s="284">
        <f t="shared" si="97"/>
        <v>-0.14443347496686429</v>
      </c>
      <c r="W158" s="286" t="s">
        <v>307</v>
      </c>
      <c r="X158" s="69" t="s">
        <v>157</v>
      </c>
    </row>
    <row r="159" spans="1:24" ht="14.4" customHeight="1">
      <c r="A159" s="47">
        <v>138</v>
      </c>
      <c r="C159" s="1" t="s">
        <v>110</v>
      </c>
      <c r="O159" s="287">
        <v>4500</v>
      </c>
      <c r="P159" s="287">
        <v>4500</v>
      </c>
      <c r="Q159" s="288">
        <f t="shared" si="95"/>
        <v>0</v>
      </c>
      <c r="R159" s="289">
        <f t="shared" si="96"/>
        <v>0</v>
      </c>
      <c r="S159" s="290"/>
      <c r="T159" s="287">
        <v>4242.25</v>
      </c>
      <c r="U159" s="287">
        <v>4500</v>
      </c>
      <c r="V159" s="289">
        <f t="shared" si="97"/>
        <v>-5.7277777777777775E-2</v>
      </c>
      <c r="W159" s="291"/>
      <c r="X159" s="65"/>
    </row>
    <row r="160" spans="1:24" s="4" customFormat="1">
      <c r="A160" s="47">
        <v>139</v>
      </c>
      <c r="B160" s="29" t="s">
        <v>73</v>
      </c>
      <c r="C160" s="29"/>
      <c r="D160" s="29"/>
      <c r="E160" s="100"/>
      <c r="F160" s="100"/>
      <c r="G160" s="100"/>
      <c r="H160" s="100"/>
      <c r="I160" s="100"/>
      <c r="J160" s="100"/>
      <c r="K160" s="100"/>
      <c r="L160" s="100"/>
      <c r="M160" s="100"/>
      <c r="N160" s="29"/>
      <c r="O160" s="29">
        <f>SUM(O153:O159)</f>
        <v>29376</v>
      </c>
      <c r="P160" s="29">
        <f>SUM(P153:P159)</f>
        <v>29000</v>
      </c>
      <c r="Q160" s="29">
        <f>SUM(Q153:Q159)</f>
        <v>376</v>
      </c>
      <c r="R160" s="30">
        <f t="shared" si="96"/>
        <v>1.296551724137931E-2</v>
      </c>
      <c r="T160" s="29">
        <f>SUM(T153:T159)</f>
        <v>29257.199999999997</v>
      </c>
      <c r="U160" s="29">
        <f>SUM(U153:U159)</f>
        <v>27050.109999999997</v>
      </c>
      <c r="V160" s="30">
        <f t="shared" si="97"/>
        <v>8.1592644170393414E-2</v>
      </c>
      <c r="W160" s="84"/>
      <c r="X160" s="68"/>
    </row>
    <row r="161" spans="1:24" s="4" customFormat="1" ht="6.75" customHeight="1">
      <c r="A161" s="47">
        <v>140</v>
      </c>
      <c r="B161" s="17"/>
      <c r="C161" s="17"/>
      <c r="D161" s="17"/>
      <c r="E161" s="90"/>
      <c r="F161" s="90"/>
      <c r="G161" s="90"/>
      <c r="H161" s="90"/>
      <c r="I161" s="90"/>
      <c r="J161" s="90"/>
      <c r="K161" s="90"/>
      <c r="L161" s="90"/>
      <c r="M161" s="90"/>
      <c r="N161" s="17"/>
      <c r="O161" s="17"/>
      <c r="P161" s="17"/>
      <c r="Q161" s="17"/>
      <c r="R161" s="20"/>
      <c r="T161" s="17"/>
      <c r="U161" s="17"/>
      <c r="V161" s="20"/>
      <c r="W161" s="84"/>
      <c r="X161" s="68"/>
    </row>
    <row r="162" spans="1:24">
      <c r="A162" s="47">
        <v>141</v>
      </c>
      <c r="B162" s="4" t="s">
        <v>74</v>
      </c>
      <c r="R162" s="7"/>
      <c r="W162" s="82"/>
      <c r="X162" s="66"/>
    </row>
    <row r="163" spans="1:24" ht="43.5">
      <c r="A163" s="47">
        <v>142</v>
      </c>
      <c r="C163" s="280" t="s">
        <v>75</v>
      </c>
      <c r="D163" s="292"/>
      <c r="E163" s="293"/>
      <c r="F163" s="294"/>
      <c r="G163" s="294"/>
      <c r="H163" s="294"/>
      <c r="I163" s="294"/>
      <c r="J163" s="294"/>
      <c r="K163" s="294"/>
      <c r="L163" s="294"/>
      <c r="M163" s="294"/>
      <c r="N163" s="280"/>
      <c r="O163" s="305">
        <f>+P163*(1+0.14)+4</f>
        <v>16899.940000000002</v>
      </c>
      <c r="P163" s="305">
        <v>14821</v>
      </c>
      <c r="Q163" s="278">
        <f t="shared" ref="Q163:Q168" si="98">+O163-P163</f>
        <v>2078.9400000000023</v>
      </c>
      <c r="R163" s="279">
        <f t="shared" ref="R163:R170" si="99">IF(P163=0,"NA",(+O163-P163)/P163)</f>
        <v>0.14026988732204321</v>
      </c>
      <c r="S163" s="280"/>
      <c r="T163" s="277">
        <v>15945.5</v>
      </c>
      <c r="U163" s="277">
        <v>14821</v>
      </c>
      <c r="V163" s="279">
        <f t="shared" ref="V163:V170" si="100">IF(U163=0,"NA",(+T163-U163)/U163)</f>
        <v>7.5872073409351592E-2</v>
      </c>
      <c r="W163" s="371" t="s">
        <v>248</v>
      </c>
      <c r="X163" s="65" t="s">
        <v>158</v>
      </c>
    </row>
    <row r="164" spans="1:24">
      <c r="A164" s="47">
        <v>143</v>
      </c>
      <c r="C164" s="285" t="s">
        <v>76</v>
      </c>
      <c r="D164" s="295"/>
      <c r="E164" s="296"/>
      <c r="F164" s="297"/>
      <c r="G164" s="297"/>
      <c r="H164" s="297"/>
      <c r="I164" s="297"/>
      <c r="J164" s="297"/>
      <c r="K164" s="297"/>
      <c r="L164" s="297"/>
      <c r="M164" s="297"/>
      <c r="N164" s="285"/>
      <c r="O164" s="282">
        <v>4500</v>
      </c>
      <c r="P164" s="282">
        <v>4000</v>
      </c>
      <c r="Q164" s="283">
        <f t="shared" si="98"/>
        <v>500</v>
      </c>
      <c r="R164" s="284">
        <f t="shared" si="99"/>
        <v>0.125</v>
      </c>
      <c r="S164" s="285"/>
      <c r="T164" s="282">
        <v>4466.5</v>
      </c>
      <c r="U164" s="282">
        <v>3000</v>
      </c>
      <c r="V164" s="284">
        <f t="shared" si="100"/>
        <v>0.48883333333333334</v>
      </c>
      <c r="W164" s="286"/>
      <c r="X164" s="65"/>
    </row>
    <row r="165" spans="1:24">
      <c r="A165" s="47">
        <v>144</v>
      </c>
      <c r="C165" s="285" t="s">
        <v>102</v>
      </c>
      <c r="D165" s="295"/>
      <c r="E165" s="296"/>
      <c r="F165" s="297"/>
      <c r="G165" s="297"/>
      <c r="H165" s="297"/>
      <c r="I165" s="297"/>
      <c r="J165" s="297"/>
      <c r="K165" s="297"/>
      <c r="L165" s="297"/>
      <c r="M165" s="297"/>
      <c r="N165" s="285"/>
      <c r="O165" s="282">
        <v>4000</v>
      </c>
      <c r="P165" s="282">
        <v>4000</v>
      </c>
      <c r="Q165" s="283">
        <f t="shared" si="98"/>
        <v>0</v>
      </c>
      <c r="R165" s="284">
        <f t="shared" si="99"/>
        <v>0</v>
      </c>
      <c r="S165" s="285"/>
      <c r="T165" s="282">
        <v>3636.22</v>
      </c>
      <c r="U165" s="282">
        <v>3666.63</v>
      </c>
      <c r="V165" s="284">
        <f t="shared" si="100"/>
        <v>-8.2937193008294566E-3</v>
      </c>
      <c r="W165" s="286"/>
      <c r="X165" s="65"/>
    </row>
    <row r="166" spans="1:24" ht="43.5">
      <c r="A166" s="47">
        <v>145</v>
      </c>
      <c r="C166" s="500" t="s">
        <v>105</v>
      </c>
      <c r="D166" s="500"/>
      <c r="E166" s="372"/>
      <c r="F166" s="372"/>
      <c r="G166" s="372"/>
      <c r="H166" s="372"/>
      <c r="I166" s="372"/>
      <c r="J166" s="372"/>
      <c r="K166" s="372"/>
      <c r="L166" s="372"/>
      <c r="M166" s="372"/>
      <c r="N166" s="373"/>
      <c r="O166" s="303">
        <v>8000</v>
      </c>
      <c r="P166" s="282">
        <v>3500</v>
      </c>
      <c r="Q166" s="283">
        <f t="shared" si="98"/>
        <v>4500</v>
      </c>
      <c r="R166" s="284">
        <f t="shared" si="99"/>
        <v>1.2857142857142858</v>
      </c>
      <c r="S166" s="285"/>
      <c r="T166" s="282">
        <v>5246.05</v>
      </c>
      <c r="U166" s="282">
        <v>3208.37</v>
      </c>
      <c r="V166" s="284">
        <f t="shared" si="100"/>
        <v>0.63511378051783318</v>
      </c>
      <c r="W166" s="286" t="s">
        <v>250</v>
      </c>
      <c r="X166" s="65"/>
    </row>
    <row r="167" spans="1:24" ht="42.75" customHeight="1">
      <c r="A167" s="47">
        <v>146</v>
      </c>
      <c r="C167" s="290" t="s">
        <v>77</v>
      </c>
      <c r="D167" s="298"/>
      <c r="E167" s="299"/>
      <c r="F167" s="300"/>
      <c r="G167" s="300"/>
      <c r="H167" s="300"/>
      <c r="I167" s="300"/>
      <c r="J167" s="300"/>
      <c r="K167" s="300"/>
      <c r="L167" s="300"/>
      <c r="M167" s="300"/>
      <c r="N167" s="290"/>
      <c r="O167" s="287">
        <v>8000</v>
      </c>
      <c r="P167" s="287">
        <v>7500</v>
      </c>
      <c r="Q167" s="288">
        <f t="shared" si="98"/>
        <v>500</v>
      </c>
      <c r="R167" s="289">
        <f t="shared" si="99"/>
        <v>6.6666666666666666E-2</v>
      </c>
      <c r="S167" s="290"/>
      <c r="T167" s="304">
        <v>13108.85</v>
      </c>
      <c r="U167" s="287">
        <v>6875</v>
      </c>
      <c r="V167" s="289">
        <f t="shared" si="100"/>
        <v>0.9067418181818182</v>
      </c>
      <c r="W167" s="291" t="s">
        <v>298</v>
      </c>
      <c r="X167" s="65"/>
    </row>
    <row r="168" spans="1:24" hidden="1">
      <c r="A168" s="47">
        <v>149</v>
      </c>
      <c r="C168" s="1" t="s">
        <v>78</v>
      </c>
      <c r="O168" s="59">
        <v>0</v>
      </c>
      <c r="P168" s="59">
        <v>0</v>
      </c>
      <c r="Q168" s="40">
        <f t="shared" si="98"/>
        <v>0</v>
      </c>
      <c r="R168" s="6" t="str">
        <f t="shared" si="99"/>
        <v>NA</v>
      </c>
      <c r="T168" s="59">
        <v>0</v>
      </c>
      <c r="U168" s="59">
        <v>0</v>
      </c>
      <c r="V168" s="6" t="str">
        <f t="shared" si="100"/>
        <v>NA</v>
      </c>
      <c r="W168" s="84"/>
      <c r="X168" s="69"/>
    </row>
    <row r="169" spans="1:24" s="4" customFormat="1">
      <c r="A169" s="47">
        <v>150</v>
      </c>
      <c r="B169" s="29" t="s">
        <v>79</v>
      </c>
      <c r="C169" s="29"/>
      <c r="D169" s="29"/>
      <c r="E169" s="100"/>
      <c r="F169" s="100"/>
      <c r="G169" s="100"/>
      <c r="H169" s="100"/>
      <c r="I169" s="100"/>
      <c r="J169" s="100"/>
      <c r="K169" s="100"/>
      <c r="L169" s="100"/>
      <c r="M169" s="100"/>
      <c r="N169" s="29"/>
      <c r="O169" s="29">
        <f>SUM(O163:O168)</f>
        <v>41399.94</v>
      </c>
      <c r="P169" s="29">
        <f>SUM(P163:P168)</f>
        <v>33821</v>
      </c>
      <c r="Q169" s="29">
        <f>SUM(Q163:Q168)</f>
        <v>7578.9400000000023</v>
      </c>
      <c r="R169" s="30">
        <f t="shared" si="99"/>
        <v>0.22408976671298905</v>
      </c>
      <c r="T169" s="29">
        <f>SUM(T163:T168)</f>
        <v>42403.12</v>
      </c>
      <c r="U169" s="29">
        <f>SUM(U163:U168)</f>
        <v>31571</v>
      </c>
      <c r="V169" s="30">
        <f t="shared" si="100"/>
        <v>0.3431034810427292</v>
      </c>
      <c r="W169" s="84"/>
      <c r="X169" s="68"/>
    </row>
    <row r="170" spans="1:24">
      <c r="A170" s="47">
        <v>151</v>
      </c>
      <c r="B170" s="29" t="s">
        <v>80</v>
      </c>
      <c r="C170" s="29"/>
      <c r="D170" s="29"/>
      <c r="E170" s="100"/>
      <c r="F170" s="100"/>
      <c r="G170" s="100"/>
      <c r="H170" s="100"/>
      <c r="I170" s="100"/>
      <c r="J170" s="100"/>
      <c r="K170" s="100"/>
      <c r="L170" s="100"/>
      <c r="M170" s="100"/>
      <c r="N170" s="29"/>
      <c r="O170" s="29">
        <f>+O160+O169</f>
        <v>70775.94</v>
      </c>
      <c r="P170" s="29">
        <f>+P160+P169</f>
        <v>62821</v>
      </c>
      <c r="Q170" s="29">
        <f>+Q160+Q169</f>
        <v>7954.9400000000023</v>
      </c>
      <c r="R170" s="30">
        <f t="shared" si="99"/>
        <v>0.1266286751245603</v>
      </c>
      <c r="T170" s="29">
        <f>+T160+T169</f>
        <v>71660.320000000007</v>
      </c>
      <c r="U170" s="29">
        <f>+U160+U169</f>
        <v>58621.11</v>
      </c>
      <c r="V170" s="30">
        <f t="shared" si="100"/>
        <v>0.2224319873847494</v>
      </c>
      <c r="W170" s="82"/>
      <c r="X170" s="66"/>
    </row>
    <row r="171" spans="1:24" ht="4.5" customHeight="1">
      <c r="A171" s="47">
        <v>152</v>
      </c>
      <c r="R171" s="7"/>
      <c r="W171" s="82"/>
      <c r="X171" s="66"/>
    </row>
    <row r="172" spans="1:24" ht="18.5">
      <c r="A172" s="47">
        <v>153</v>
      </c>
      <c r="B172" s="9" t="s">
        <v>81</v>
      </c>
      <c r="R172" s="7"/>
      <c r="W172" s="82"/>
      <c r="X172" s="66"/>
    </row>
    <row r="173" spans="1:24">
      <c r="A173" s="47">
        <v>154</v>
      </c>
      <c r="B173" s="4" t="s">
        <v>82</v>
      </c>
      <c r="R173" s="7"/>
      <c r="W173" s="82"/>
      <c r="X173" s="66"/>
    </row>
    <row r="174" spans="1:24" ht="29">
      <c r="C174" s="280" t="s">
        <v>83</v>
      </c>
      <c r="D174" s="292"/>
      <c r="E174" s="293"/>
      <c r="F174" s="294"/>
      <c r="G174" s="294"/>
      <c r="H174" s="294"/>
      <c r="I174" s="294"/>
      <c r="J174" s="294"/>
      <c r="K174" s="294"/>
      <c r="L174" s="294"/>
      <c r="M174" s="294"/>
      <c r="N174" s="280"/>
      <c r="O174" s="305">
        <v>0</v>
      </c>
      <c r="P174" s="305">
        <v>0</v>
      </c>
      <c r="Q174" s="278">
        <f t="shared" ref="Q174" si="101">+O174-P174</f>
        <v>0</v>
      </c>
      <c r="R174" s="279" t="str">
        <f t="shared" ref="R174" si="102">IF(P174=0,"NA",(+O174-P174)/P174)</f>
        <v>NA</v>
      </c>
      <c r="S174" s="280"/>
      <c r="T174" s="277">
        <v>4406.13</v>
      </c>
      <c r="U174" s="277">
        <v>0</v>
      </c>
      <c r="V174" s="279" t="str">
        <f t="shared" ref="V174" si="103">IF(U174=0,"NA",(+T174-U174)/U174)</f>
        <v>NA</v>
      </c>
      <c r="W174" s="281" t="s">
        <v>218</v>
      </c>
      <c r="X174" s="65"/>
    </row>
    <row r="175" spans="1:24">
      <c r="C175" s="285" t="s">
        <v>229</v>
      </c>
      <c r="D175" s="295"/>
      <c r="E175" s="296"/>
      <c r="F175" s="297"/>
      <c r="G175" s="297"/>
      <c r="H175" s="297"/>
      <c r="I175" s="297"/>
      <c r="J175" s="297"/>
      <c r="K175" s="297"/>
      <c r="L175" s="297"/>
      <c r="M175" s="297"/>
      <c r="N175" s="285"/>
      <c r="O175" s="303">
        <v>0</v>
      </c>
      <c r="P175" s="303">
        <v>0</v>
      </c>
      <c r="Q175" s="283">
        <f t="shared" ref="Q175" si="104">+O175-P175</f>
        <v>0</v>
      </c>
      <c r="R175" s="284" t="str">
        <f t="shared" ref="R175" si="105">IF(P175=0,"NA",(+O175-P175)/P175)</f>
        <v>NA</v>
      </c>
      <c r="S175" s="285"/>
      <c r="T175" s="282">
        <v>148.38</v>
      </c>
      <c r="U175" s="282">
        <v>0</v>
      </c>
      <c r="V175" s="284" t="str">
        <f t="shared" ref="V175" si="106">IF(U175=0,"NA",(+T175-U175)/U175)</f>
        <v>NA</v>
      </c>
      <c r="W175" s="286"/>
      <c r="X175" s="65"/>
    </row>
    <row r="176" spans="1:24" ht="43.5">
      <c r="A176" s="47">
        <v>156</v>
      </c>
      <c r="C176" s="285" t="s">
        <v>167</v>
      </c>
      <c r="D176" s="295"/>
      <c r="E176" s="296"/>
      <c r="F176" s="297"/>
      <c r="G176" s="297"/>
      <c r="H176" s="297"/>
      <c r="I176" s="297"/>
      <c r="J176" s="297"/>
      <c r="K176" s="297"/>
      <c r="L176" s="297"/>
      <c r="M176" s="297"/>
      <c r="N176" s="285"/>
      <c r="O176" s="303">
        <v>12000</v>
      </c>
      <c r="P176" s="303">
        <v>24378</v>
      </c>
      <c r="Q176" s="283">
        <f t="shared" ref="Q176:Q179" si="107">+O176-P176</f>
        <v>-12378</v>
      </c>
      <c r="R176" s="284">
        <f t="shared" ref="R176:R180" si="108">IF(P176=0,"NA",(+O176-P176)/P176)</f>
        <v>-0.50775289195175977</v>
      </c>
      <c r="S176" s="285"/>
      <c r="T176" s="282">
        <v>0</v>
      </c>
      <c r="U176" s="282">
        <v>22346.5</v>
      </c>
      <c r="V176" s="284">
        <f t="shared" ref="V176:V180" si="109">IF(U176=0,"NA",(+T176-U176)/U176)</f>
        <v>-1</v>
      </c>
      <c r="W176" s="286" t="s">
        <v>300</v>
      </c>
      <c r="X176" s="65"/>
    </row>
    <row r="177" spans="1:24" ht="29">
      <c r="A177" s="47">
        <v>157</v>
      </c>
      <c r="C177" s="285" t="s">
        <v>173</v>
      </c>
      <c r="D177" s="295"/>
      <c r="E177" s="296"/>
      <c r="F177" s="297"/>
      <c r="G177" s="297"/>
      <c r="H177" s="297"/>
      <c r="I177" s="297"/>
      <c r="J177" s="297"/>
      <c r="K177" s="297"/>
      <c r="L177" s="297"/>
      <c r="M177" s="297"/>
      <c r="N177" s="285"/>
      <c r="O177" s="303">
        <f>215+302-100+104</f>
        <v>521</v>
      </c>
      <c r="P177" s="303">
        <v>5000</v>
      </c>
      <c r="Q177" s="283">
        <f t="shared" si="107"/>
        <v>-4479</v>
      </c>
      <c r="R177" s="284">
        <f t="shared" si="108"/>
        <v>-0.89580000000000004</v>
      </c>
      <c r="S177" s="285"/>
      <c r="T177" s="282">
        <v>0</v>
      </c>
      <c r="U177" s="282">
        <v>4583.37</v>
      </c>
      <c r="V177" s="284">
        <f t="shared" si="109"/>
        <v>-1</v>
      </c>
      <c r="W177" s="286" t="s">
        <v>299</v>
      </c>
      <c r="X177" s="66"/>
    </row>
    <row r="178" spans="1:24" ht="29">
      <c r="A178" s="47">
        <v>157</v>
      </c>
      <c r="C178" s="290" t="s">
        <v>217</v>
      </c>
      <c r="D178" s="298"/>
      <c r="E178" s="299"/>
      <c r="F178" s="300"/>
      <c r="G178" s="300"/>
      <c r="H178" s="300"/>
      <c r="I178" s="300"/>
      <c r="J178" s="300"/>
      <c r="K178" s="300"/>
      <c r="L178" s="300"/>
      <c r="M178" s="300"/>
      <c r="N178" s="290"/>
      <c r="O178" s="304">
        <v>0</v>
      </c>
      <c r="P178" s="304">
        <v>10000</v>
      </c>
      <c r="Q178" s="288">
        <f t="shared" ref="Q178" si="110">+O178-P178</f>
        <v>-10000</v>
      </c>
      <c r="R178" s="289">
        <f t="shared" ref="R178" si="111">IF(P178=0,"NA",(+O178-P178)/P178)</f>
        <v>-1</v>
      </c>
      <c r="S178" s="290"/>
      <c r="T178" s="287">
        <v>0</v>
      </c>
      <c r="U178" s="287">
        <v>9166.6299999999992</v>
      </c>
      <c r="V178" s="289">
        <f t="shared" ref="V178" si="112">IF(U178=0,"NA",(+T178-U178)/U178)</f>
        <v>-1</v>
      </c>
      <c r="W178" s="291" t="s">
        <v>219</v>
      </c>
      <c r="X178" s="66"/>
    </row>
    <row r="179" spans="1:24" hidden="1">
      <c r="A179" s="47">
        <v>158</v>
      </c>
      <c r="C179" s="1" t="s">
        <v>84</v>
      </c>
      <c r="O179" s="61">
        <v>0</v>
      </c>
      <c r="P179" s="61">
        <v>0</v>
      </c>
      <c r="Q179" s="40">
        <f t="shared" si="107"/>
        <v>0</v>
      </c>
      <c r="R179" s="6" t="str">
        <f t="shared" si="108"/>
        <v>NA</v>
      </c>
      <c r="T179" s="59">
        <v>0</v>
      </c>
      <c r="U179" s="59">
        <v>0</v>
      </c>
      <c r="V179" s="6" t="str">
        <f t="shared" si="109"/>
        <v>NA</v>
      </c>
      <c r="W179" s="69"/>
      <c r="X179" s="69" t="s">
        <v>150</v>
      </c>
    </row>
    <row r="180" spans="1:24" s="4" customFormat="1">
      <c r="A180" s="47">
        <v>159</v>
      </c>
      <c r="B180" s="31" t="s">
        <v>85</v>
      </c>
      <c r="C180" s="31"/>
      <c r="D180" s="31"/>
      <c r="E180" s="101"/>
      <c r="F180" s="101"/>
      <c r="G180" s="101"/>
      <c r="H180" s="101"/>
      <c r="I180" s="101"/>
      <c r="J180" s="101"/>
      <c r="K180" s="101"/>
      <c r="L180" s="101"/>
      <c r="M180" s="101"/>
      <c r="N180" s="31"/>
      <c r="O180" s="31">
        <f>SUM(O174:O179)</f>
        <v>12521</v>
      </c>
      <c r="P180" s="31">
        <f>SUM(P174:P179)</f>
        <v>39378</v>
      </c>
      <c r="Q180" s="31">
        <f>SUM(Q174:Q179)</f>
        <v>-26857</v>
      </c>
      <c r="R180" s="32">
        <f t="shared" si="108"/>
        <v>-0.68203057544821977</v>
      </c>
      <c r="T180" s="31">
        <f>SUM(T174:T179)</f>
        <v>4554.51</v>
      </c>
      <c r="U180" s="31">
        <f>SUM(U174:U179)</f>
        <v>36096.5</v>
      </c>
      <c r="V180" s="32">
        <f t="shared" si="109"/>
        <v>-0.87382405496377757</v>
      </c>
      <c r="W180" s="84"/>
      <c r="X180" s="68"/>
    </row>
    <row r="181" spans="1:24" ht="7.5" customHeight="1">
      <c r="A181" s="47">
        <v>160</v>
      </c>
      <c r="D181" s="1"/>
      <c r="E181" s="42"/>
      <c r="R181" s="7"/>
      <c r="W181" s="82"/>
      <c r="X181" s="66"/>
    </row>
    <row r="182" spans="1:24">
      <c r="A182" s="47">
        <v>161</v>
      </c>
      <c r="B182" s="33" t="s">
        <v>86</v>
      </c>
      <c r="C182" s="34"/>
      <c r="D182" s="34"/>
      <c r="E182" s="102"/>
      <c r="F182" s="102"/>
      <c r="G182" s="102"/>
      <c r="H182" s="102"/>
      <c r="I182" s="102"/>
      <c r="J182" s="102"/>
      <c r="K182" s="102"/>
      <c r="L182" s="102"/>
      <c r="M182" s="102"/>
      <c r="N182" s="34"/>
      <c r="O182" s="33">
        <f>O29+O75+O149+O170+O180</f>
        <v>513300.32049999997</v>
      </c>
      <c r="P182" s="33">
        <f>+P75+P149+P170+P180+P29</f>
        <v>521499.84341041668</v>
      </c>
      <c r="Q182" s="33">
        <f>+Q75+Q149+Q170+Q180+Q29</f>
        <v>-8199.5229104166719</v>
      </c>
      <c r="R182" s="35">
        <f>IF(P182=0,"NA",(+O182-P182)/P182)</f>
        <v>-1.5722963322088175E-2</v>
      </c>
      <c r="T182" s="33">
        <f>+T75+T149+T170+T180+T29</f>
        <v>422051.2</v>
      </c>
      <c r="U182" s="33">
        <f>+U75+U149+U170+U180+U29</f>
        <v>477062.5</v>
      </c>
      <c r="V182" s="35">
        <f>IF(U182=0,"NA",(+T182-U182)/U182)</f>
        <v>-0.11531256386741777</v>
      </c>
      <c r="W182" s="82"/>
      <c r="X182" s="66"/>
    </row>
    <row r="183" spans="1:24">
      <c r="A183" s="47">
        <v>162</v>
      </c>
      <c r="B183" s="33" t="s">
        <v>87</v>
      </c>
      <c r="C183" s="34"/>
      <c r="D183" s="34"/>
      <c r="E183" s="102"/>
      <c r="F183" s="102"/>
      <c r="G183" s="102"/>
      <c r="H183" s="102"/>
      <c r="I183" s="102"/>
      <c r="J183" s="102"/>
      <c r="K183" s="102"/>
      <c r="L183" s="102"/>
      <c r="M183" s="102"/>
      <c r="N183" s="34"/>
      <c r="O183" s="33">
        <f>ROUND(+O21-O182,0)</f>
        <v>0</v>
      </c>
      <c r="P183" s="33">
        <f>ROUND(+P21-P182,0)</f>
        <v>0</v>
      </c>
      <c r="Q183" s="33">
        <f>ROUND(+Q21-Q182,0)</f>
        <v>0</v>
      </c>
      <c r="R183" s="35" t="str">
        <f>IF(P183=0,"NA",(+O183-P183)/P183)</f>
        <v>NA</v>
      </c>
      <c r="T183" s="33">
        <f>+T21-T182</f>
        <v>45833.25</v>
      </c>
      <c r="U183" s="33">
        <f>+U21-U182</f>
        <v>-1322.2299999999814</v>
      </c>
      <c r="V183" s="35">
        <f>IF(U183=0,"NA",(+T183-U183)/U183)</f>
        <v>-35.663598617487615</v>
      </c>
      <c r="W183" s="82"/>
      <c r="X183" s="66"/>
    </row>
    <row r="184" spans="1:24" ht="15" thickBot="1">
      <c r="R184" s="7"/>
      <c r="W184" s="82"/>
      <c r="X184" s="66"/>
    </row>
    <row r="185" spans="1:24">
      <c r="B185" s="115" t="s">
        <v>194</v>
      </c>
      <c r="C185" s="116"/>
      <c r="D185" s="116"/>
      <c r="E185" s="117"/>
      <c r="F185" s="117"/>
      <c r="G185" s="117"/>
      <c r="H185" s="117"/>
      <c r="I185" s="117"/>
      <c r="J185" s="117"/>
      <c r="K185" s="117"/>
      <c r="L185" s="117"/>
      <c r="M185" s="117"/>
      <c r="N185" s="116"/>
      <c r="O185" s="118">
        <f>+O21-O19</f>
        <v>513300</v>
      </c>
      <c r="P185" s="118">
        <f>+P21-P19</f>
        <v>521500</v>
      </c>
      <c r="Q185" s="119">
        <f t="shared" ref="Q185:Q187" si="113">+O185-P185</f>
        <v>-8200</v>
      </c>
      <c r="R185" s="120">
        <f t="shared" ref="R185:R187" si="114">IF(P185=0,"NA",(+O185-P185)/P185)</f>
        <v>-1.5723873441994246E-2</v>
      </c>
      <c r="S185" s="116"/>
      <c r="T185" s="118">
        <f>+T21-T19</f>
        <v>467884.45</v>
      </c>
      <c r="U185" s="118">
        <f>+U21-U19</f>
        <v>475740.27</v>
      </c>
      <c r="V185" s="121">
        <f t="shared" ref="V185:V187" si="115">IF(U185=0,"NA",(+T185-U185)/U185)</f>
        <v>-1.6512833777977229E-2</v>
      </c>
      <c r="W185" s="69" t="s">
        <v>249</v>
      </c>
      <c r="X185" s="66"/>
    </row>
    <row r="186" spans="1:24">
      <c r="B186" s="122" t="s">
        <v>176</v>
      </c>
      <c r="C186" s="110"/>
      <c r="D186" s="11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0"/>
      <c r="O186" s="112">
        <f>+O182-O180</f>
        <v>500779.32049999997</v>
      </c>
      <c r="P186" s="112">
        <f>+P182-P180</f>
        <v>482121.84341041668</v>
      </c>
      <c r="Q186" s="113">
        <f t="shared" si="113"/>
        <v>18657.477089583292</v>
      </c>
      <c r="R186" s="114">
        <f t="shared" si="114"/>
        <v>3.8698676163694809E-2</v>
      </c>
      <c r="S186" s="110"/>
      <c r="T186" s="112">
        <f>+T182-T180</f>
        <v>417496.69</v>
      </c>
      <c r="U186" s="112">
        <f>+U182-U180</f>
        <v>440966</v>
      </c>
      <c r="V186" s="123">
        <f t="shared" si="115"/>
        <v>-5.3222493344158045E-2</v>
      </c>
      <c r="W186" s="82"/>
      <c r="X186" s="66"/>
    </row>
    <row r="187" spans="1:24" ht="15" thickBot="1">
      <c r="B187" s="124" t="s">
        <v>195</v>
      </c>
      <c r="C187" s="125"/>
      <c r="D187" s="125"/>
      <c r="E187" s="126"/>
      <c r="F187" s="126"/>
      <c r="G187" s="126"/>
      <c r="H187" s="127"/>
      <c r="I187" s="127"/>
      <c r="J187" s="127"/>
      <c r="K187" s="127"/>
      <c r="L187" s="127"/>
      <c r="M187" s="127"/>
      <c r="N187" s="125"/>
      <c r="O187" s="128">
        <f>+O185-O186</f>
        <v>12520.679500000027</v>
      </c>
      <c r="P187" s="128">
        <f>+P185-P186</f>
        <v>39378.156589583319</v>
      </c>
      <c r="Q187" s="129">
        <f t="shared" si="113"/>
        <v>-26857.477089583292</v>
      </c>
      <c r="R187" s="130">
        <f t="shared" si="114"/>
        <v>-0.68203997890261536</v>
      </c>
      <c r="S187" s="125"/>
      <c r="T187" s="128">
        <f>+T185-T186</f>
        <v>50387.760000000009</v>
      </c>
      <c r="U187" s="128">
        <f>+U185-U186</f>
        <v>34774.270000000019</v>
      </c>
      <c r="V187" s="131">
        <f t="shared" si="115"/>
        <v>0.44899547855353922</v>
      </c>
      <c r="W187" s="82"/>
      <c r="X187" s="66"/>
    </row>
    <row r="188" spans="1:24">
      <c r="R188" s="7"/>
      <c r="W188" s="66"/>
      <c r="X188" s="66"/>
    </row>
    <row r="189" spans="1:24">
      <c r="H189" s="103"/>
      <c r="I189" s="103"/>
      <c r="J189" s="103"/>
      <c r="K189" s="103"/>
      <c r="L189" s="103"/>
      <c r="M189" s="103"/>
      <c r="V189" s="1"/>
      <c r="W189" s="66"/>
      <c r="X189" s="66"/>
    </row>
    <row r="190" spans="1:24">
      <c r="R190" s="7"/>
      <c r="W190" s="66"/>
      <c r="X190" s="66"/>
    </row>
    <row r="191" spans="1:24">
      <c r="D191" s="85"/>
      <c r="E191" s="104"/>
      <c r="R191" s="7"/>
      <c r="W191" s="66"/>
      <c r="X191" s="66"/>
    </row>
    <row r="192" spans="1:24">
      <c r="R192" s="7"/>
      <c r="W192" s="66"/>
      <c r="X192" s="66"/>
    </row>
    <row r="193" spans="1:24">
      <c r="A193" s="1"/>
      <c r="B193" s="1"/>
      <c r="R193" s="7"/>
      <c r="V193" s="1"/>
      <c r="W193" s="74"/>
      <c r="X193" s="74"/>
    </row>
    <row r="194" spans="1:24">
      <c r="A194" s="1"/>
      <c r="B194" s="1"/>
      <c r="R194" s="7"/>
      <c r="V194" s="1"/>
      <c r="W194" s="74"/>
      <c r="X194" s="74"/>
    </row>
    <row r="195" spans="1:24">
      <c r="A195" s="1"/>
      <c r="B195" s="1"/>
      <c r="R195" s="7"/>
      <c r="V195" s="1"/>
      <c r="W195" s="74"/>
      <c r="X195" s="74"/>
    </row>
    <row r="196" spans="1:24">
      <c r="A196" s="1"/>
      <c r="B196" s="1"/>
      <c r="R196" s="7"/>
      <c r="V196" s="1"/>
      <c r="W196" s="74"/>
      <c r="X196" s="74"/>
    </row>
    <row r="197" spans="1:24">
      <c r="A197" s="1"/>
      <c r="B197" s="1"/>
      <c r="R197" s="7"/>
      <c r="V197" s="1"/>
      <c r="W197" s="74"/>
      <c r="X197" s="74"/>
    </row>
    <row r="198" spans="1:24">
      <c r="A198" s="1"/>
      <c r="B198" s="1"/>
      <c r="R198" s="7"/>
      <c r="V198" s="1"/>
      <c r="W198" s="74"/>
      <c r="X198" s="74"/>
    </row>
    <row r="199" spans="1:24">
      <c r="A199" s="1"/>
      <c r="B199" s="1"/>
      <c r="R199" s="7"/>
      <c r="V199" s="1"/>
      <c r="W199" s="74"/>
      <c r="X199" s="40"/>
    </row>
    <row r="200" spans="1:24">
      <c r="A200" s="1"/>
      <c r="B200" s="1"/>
      <c r="R200" s="7"/>
      <c r="V200" s="1"/>
      <c r="W200" s="74"/>
      <c r="X200" s="40"/>
    </row>
    <row r="201" spans="1:24">
      <c r="A201" s="1"/>
      <c r="B201" s="1"/>
      <c r="R201" s="7"/>
      <c r="V201" s="1"/>
      <c r="W201" s="74"/>
      <c r="X201" s="40"/>
    </row>
    <row r="202" spans="1:24">
      <c r="A202" s="1"/>
      <c r="B202" s="1"/>
      <c r="R202" s="7"/>
      <c r="V202" s="1"/>
      <c r="W202" s="74"/>
      <c r="X202" s="40"/>
    </row>
    <row r="203" spans="1:24">
      <c r="A203" s="1"/>
      <c r="B203" s="1"/>
      <c r="R203" s="7"/>
      <c r="V203" s="1"/>
      <c r="W203" s="74"/>
      <c r="X203" s="40"/>
    </row>
    <row r="204" spans="1:24">
      <c r="A204" s="1"/>
      <c r="B204" s="1"/>
      <c r="R204" s="7"/>
      <c r="V204" s="1"/>
      <c r="W204" s="74"/>
      <c r="X204" s="40"/>
    </row>
    <row r="205" spans="1:24">
      <c r="A205" s="1"/>
      <c r="B205" s="1"/>
      <c r="R205" s="7"/>
      <c r="V205" s="1"/>
      <c r="W205" s="74"/>
      <c r="X205" s="40"/>
    </row>
    <row r="206" spans="1:24">
      <c r="A206" s="1"/>
      <c r="B206" s="1"/>
      <c r="R206" s="7"/>
      <c r="V206" s="1"/>
      <c r="W206" s="75"/>
      <c r="X206" s="40"/>
    </row>
    <row r="207" spans="1:24">
      <c r="X207" s="40"/>
    </row>
    <row r="208" spans="1:24">
      <c r="X208" s="54"/>
    </row>
    <row r="209" spans="24:24">
      <c r="X209" s="54"/>
    </row>
    <row r="210" spans="24:24">
      <c r="X210" s="54"/>
    </row>
    <row r="211" spans="24:24">
      <c r="X211" s="54"/>
    </row>
    <row r="212" spans="24:24">
      <c r="X212" s="54"/>
    </row>
    <row r="213" spans="24:24">
      <c r="X213" s="54"/>
    </row>
    <row r="214" spans="24:24">
      <c r="X214" s="54"/>
    </row>
    <row r="215" spans="24:24">
      <c r="X215" s="54"/>
    </row>
    <row r="216" spans="24:24">
      <c r="X216" s="54"/>
    </row>
    <row r="217" spans="24:24">
      <c r="X217" s="54"/>
    </row>
    <row r="218" spans="24:24">
      <c r="X218" s="54"/>
    </row>
    <row r="219" spans="24:24">
      <c r="X219" s="54"/>
    </row>
    <row r="220" spans="24:24">
      <c r="X220" s="54"/>
    </row>
    <row r="221" spans="24:24">
      <c r="X221" s="54"/>
    </row>
    <row r="222" spans="24:24">
      <c r="X222" s="54"/>
    </row>
    <row r="223" spans="24:24">
      <c r="X223" s="54"/>
    </row>
    <row r="224" spans="24:24">
      <c r="X224" s="54"/>
    </row>
    <row r="225" spans="24:24">
      <c r="X225" s="54"/>
    </row>
    <row r="226" spans="24:24">
      <c r="X226" s="54"/>
    </row>
    <row r="227" spans="24:24">
      <c r="X227" s="54"/>
    </row>
    <row r="228" spans="24:24">
      <c r="X228" s="54"/>
    </row>
    <row r="229" spans="24:24">
      <c r="X229" s="54"/>
    </row>
    <row r="230" spans="24:24">
      <c r="X230" s="54"/>
    </row>
    <row r="231" spans="24:24">
      <c r="X231" s="54"/>
    </row>
    <row r="232" spans="24:24">
      <c r="X232" s="54"/>
    </row>
    <row r="233" spans="24:24">
      <c r="X233" s="54"/>
    </row>
    <row r="234" spans="24:24">
      <c r="X234" s="54"/>
    </row>
    <row r="235" spans="24:24">
      <c r="X235" s="54"/>
    </row>
  </sheetData>
  <mergeCells count="25">
    <mergeCell ref="L82:N82"/>
    <mergeCell ref="I110:N111"/>
    <mergeCell ref="C144:D144"/>
    <mergeCell ref="I74:L74"/>
    <mergeCell ref="C82:D82"/>
    <mergeCell ref="C125:D125"/>
    <mergeCell ref="C166:D166"/>
    <mergeCell ref="E110:H110"/>
    <mergeCell ref="E130:H130"/>
    <mergeCell ref="I130:L130"/>
    <mergeCell ref="E129:N129"/>
    <mergeCell ref="B1:W1"/>
    <mergeCell ref="N77:N78"/>
    <mergeCell ref="O2:R2"/>
    <mergeCell ref="T2:V2"/>
    <mergeCell ref="Q3:R3"/>
    <mergeCell ref="T3:T4"/>
    <mergeCell ref="U3:U4"/>
    <mergeCell ref="V3:V4"/>
    <mergeCell ref="O3:O4"/>
    <mergeCell ref="P3:P4"/>
    <mergeCell ref="E74:H74"/>
    <mergeCell ref="E73:M73"/>
    <mergeCell ref="G78:H78"/>
    <mergeCell ref="G77:H77"/>
  </mergeCells>
  <pageMargins left="0" right="0" top="0.25" bottom="0.5" header="0.3" footer="0.3"/>
  <pageSetup scale="72" fitToHeight="0" orientation="landscape" r:id="rId1"/>
  <headerFooter>
    <oddFooter>&amp;C&amp;P of &amp;N&amp;R&amp;D</oddFooter>
  </headerFooter>
  <rowBreaks count="3" manualBreakCount="3">
    <brk id="40" max="16383" man="1"/>
    <brk id="75" max="16383" man="1"/>
    <brk id="149" max="16383" man="1"/>
  </rowBreaks>
  <colBreaks count="1" manualBreakCount="1">
    <brk id="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4"/>
  <sheetViews>
    <sheetView showGridLines="0" workbookViewId="0">
      <selection activeCell="A58" sqref="A58"/>
    </sheetView>
  </sheetViews>
  <sheetFormatPr defaultRowHeight="14.5"/>
  <cols>
    <col min="1" max="1" width="35" style="155" customWidth="1"/>
    <col min="2" max="2" width="10.453125" style="155" customWidth="1"/>
    <col min="3" max="3" width="10" style="155" customWidth="1"/>
    <col min="4" max="4" width="8.7265625" style="155"/>
    <col min="5" max="6" width="8.7265625" style="155" customWidth="1"/>
    <col min="7" max="8" width="13.90625" style="155" customWidth="1"/>
    <col min="9" max="16384" width="8.7265625" style="155"/>
  </cols>
  <sheetData>
    <row r="1" spans="1:8">
      <c r="B1" s="514">
        <v>2018</v>
      </c>
      <c r="C1" s="515"/>
      <c r="D1" s="515"/>
      <c r="E1" s="515"/>
      <c r="F1" s="516"/>
      <c r="G1" s="263" t="s">
        <v>253</v>
      </c>
      <c r="H1" s="156" t="s">
        <v>285</v>
      </c>
    </row>
    <row r="2" spans="1:8">
      <c r="A2" s="201"/>
      <c r="B2" s="202" t="s">
        <v>251</v>
      </c>
      <c r="C2" s="203" t="s">
        <v>199</v>
      </c>
      <c r="D2" s="203" t="s">
        <v>269</v>
      </c>
      <c r="E2" s="203" t="s">
        <v>283</v>
      </c>
      <c r="F2" s="204" t="s">
        <v>261</v>
      </c>
      <c r="G2" s="157"/>
      <c r="H2" s="205"/>
    </row>
    <row r="3" spans="1:8">
      <c r="A3" s="206" t="s">
        <v>45</v>
      </c>
      <c r="B3" s="207">
        <v>52894</v>
      </c>
      <c r="C3" s="138">
        <f>+B6-C5</f>
        <v>46762</v>
      </c>
      <c r="D3" s="138">
        <f>+B6-D5</f>
        <v>46762</v>
      </c>
      <c r="E3" s="138">
        <f>+B3</f>
        <v>52894</v>
      </c>
      <c r="F3" s="148"/>
      <c r="G3" s="158">
        <f>+B6-G5</f>
        <v>46322</v>
      </c>
      <c r="H3" s="208"/>
    </row>
    <row r="4" spans="1:8">
      <c r="A4" s="206"/>
      <c r="B4" s="209">
        <v>0.3</v>
      </c>
      <c r="C4" s="140"/>
      <c r="D4" s="140"/>
      <c r="E4" s="139">
        <v>0.3</v>
      </c>
      <c r="F4" s="210"/>
      <c r="G4" s="159"/>
      <c r="H4" s="211"/>
    </row>
    <row r="5" spans="1:8" ht="15" thickBot="1">
      <c r="A5" s="206" t="s">
        <v>198</v>
      </c>
      <c r="B5" s="212">
        <f>ROUND(+B3*B4,0)</f>
        <v>15868</v>
      </c>
      <c r="C5" s="142">
        <v>22000</v>
      </c>
      <c r="D5" s="142">
        <f>+C5</f>
        <v>22000</v>
      </c>
      <c r="E5" s="141">
        <f>ROUND(+E3*E4,0)</f>
        <v>15868</v>
      </c>
      <c r="F5" s="145"/>
      <c r="G5" s="160">
        <v>22440</v>
      </c>
      <c r="H5" s="213"/>
    </row>
    <row r="6" spans="1:8" ht="14.5" customHeight="1">
      <c r="A6" s="206" t="s">
        <v>200</v>
      </c>
      <c r="B6" s="214">
        <f>+B3+B5</f>
        <v>68762</v>
      </c>
      <c r="C6" s="215">
        <f>+C3+C5</f>
        <v>68762</v>
      </c>
      <c r="D6" s="215">
        <f>+D3+D5</f>
        <v>68762</v>
      </c>
      <c r="E6" s="215">
        <f>+E3+E5</f>
        <v>68762</v>
      </c>
      <c r="F6" s="216"/>
      <c r="G6" s="161">
        <f>+G3+G5</f>
        <v>68762</v>
      </c>
      <c r="H6" s="217"/>
    </row>
    <row r="7" spans="1:8">
      <c r="A7" s="218"/>
      <c r="B7" s="218"/>
      <c r="C7" s="219"/>
      <c r="D7" s="219"/>
      <c r="E7" s="219"/>
      <c r="F7" s="220"/>
      <c r="G7" s="159"/>
      <c r="H7" s="211"/>
    </row>
    <row r="8" spans="1:8">
      <c r="A8" s="206" t="s">
        <v>216</v>
      </c>
      <c r="B8" s="218"/>
      <c r="C8" s="143">
        <f>(23/24)</f>
        <v>0.95833333333333337</v>
      </c>
      <c r="D8" s="143">
        <f>(23/24)</f>
        <v>0.95833333333333337</v>
      </c>
      <c r="E8" s="143">
        <v>1</v>
      </c>
      <c r="F8" s="144">
        <v>1</v>
      </c>
      <c r="G8" s="152">
        <v>1</v>
      </c>
      <c r="H8" s="221"/>
    </row>
    <row r="9" spans="1:8">
      <c r="A9" s="218"/>
      <c r="B9" s="218"/>
      <c r="C9" s="219"/>
      <c r="D9" s="219"/>
      <c r="E9" s="219"/>
      <c r="F9" s="220"/>
      <c r="G9" s="159"/>
      <c r="H9" s="211"/>
    </row>
    <row r="10" spans="1:8">
      <c r="A10" s="206" t="s">
        <v>254</v>
      </c>
      <c r="B10" s="218"/>
      <c r="C10" s="222">
        <v>0</v>
      </c>
      <c r="D10" s="222">
        <v>0</v>
      </c>
      <c r="E10" s="222">
        <v>0</v>
      </c>
      <c r="F10" s="223">
        <v>0</v>
      </c>
      <c r="G10" s="164">
        <v>0.02</v>
      </c>
      <c r="H10" s="224"/>
    </row>
    <row r="11" spans="1:8">
      <c r="A11" s="225" t="s">
        <v>252</v>
      </c>
      <c r="B11" s="226"/>
      <c r="C11" s="227">
        <f>+C6*C8</f>
        <v>65896.916666666672</v>
      </c>
      <c r="D11" s="227">
        <f>+D6*D8</f>
        <v>65896.916666666672</v>
      </c>
      <c r="E11" s="227">
        <f>+E6*E8</f>
        <v>68762</v>
      </c>
      <c r="F11" s="228">
        <f>+C6*F8</f>
        <v>68762</v>
      </c>
      <c r="G11" s="165">
        <f>ROUND(+G6*(1+G10),0)</f>
        <v>70137</v>
      </c>
      <c r="H11" s="229"/>
    </row>
    <row r="12" spans="1:8">
      <c r="A12" s="218"/>
      <c r="B12" s="218"/>
      <c r="C12" s="219"/>
      <c r="D12" s="219"/>
      <c r="E12" s="219"/>
      <c r="F12" s="220"/>
      <c r="G12" s="159"/>
      <c r="H12" s="211"/>
    </row>
    <row r="13" spans="1:8">
      <c r="A13" s="513" t="s">
        <v>255</v>
      </c>
      <c r="B13" s="218"/>
      <c r="C13" s="219"/>
      <c r="D13" s="219"/>
      <c r="E13" s="219"/>
      <c r="F13" s="220"/>
      <c r="G13" s="159"/>
      <c r="H13" s="211"/>
    </row>
    <row r="14" spans="1:8">
      <c r="A14" s="513"/>
      <c r="B14" s="218"/>
      <c r="C14" s="138">
        <f>+C32</f>
        <v>0</v>
      </c>
      <c r="D14" s="138">
        <f>+D32</f>
        <v>0</v>
      </c>
      <c r="E14" s="138">
        <f>+E32</f>
        <v>8015</v>
      </c>
      <c r="F14" s="148">
        <f>+F32</f>
        <v>0</v>
      </c>
      <c r="G14" s="154">
        <f>+G32</f>
        <v>2600</v>
      </c>
      <c r="H14" s="230"/>
    </row>
    <row r="15" spans="1:8">
      <c r="A15" s="513"/>
      <c r="B15" s="218"/>
      <c r="C15" s="219"/>
      <c r="D15" s="219"/>
      <c r="E15" s="219"/>
      <c r="F15" s="220"/>
      <c r="G15" s="159"/>
      <c r="H15" s="211"/>
    </row>
    <row r="16" spans="1:8">
      <c r="A16" s="231"/>
      <c r="B16" s="218"/>
      <c r="C16" s="219"/>
      <c r="D16" s="219"/>
      <c r="E16" s="219"/>
      <c r="F16" s="220"/>
      <c r="G16" s="159"/>
      <c r="H16" s="211"/>
    </row>
    <row r="17" spans="1:10">
      <c r="A17" s="225" t="s">
        <v>252</v>
      </c>
      <c r="B17" s="226"/>
      <c r="C17" s="227">
        <f>+C11+C14</f>
        <v>65896.916666666672</v>
      </c>
      <c r="D17" s="227">
        <f>+D11+D14</f>
        <v>65896.916666666672</v>
      </c>
      <c r="E17" s="227">
        <f>+E11+E14</f>
        <v>76777</v>
      </c>
      <c r="F17" s="228">
        <f>+F11+F14</f>
        <v>68762</v>
      </c>
      <c r="G17" s="165">
        <f>+G11+G14</f>
        <v>72737</v>
      </c>
      <c r="H17" s="229">
        <f>50297+22440</f>
        <v>72737</v>
      </c>
    </row>
    <row r="18" spans="1:10">
      <c r="A18" s="218"/>
      <c r="B18" s="218"/>
      <c r="C18" s="219"/>
      <c r="D18" s="219"/>
      <c r="E18" s="219"/>
      <c r="F18" s="220"/>
      <c r="G18" s="159"/>
      <c r="H18" s="211"/>
    </row>
    <row r="19" spans="1:10">
      <c r="A19" s="218" t="s">
        <v>256</v>
      </c>
      <c r="B19" s="218"/>
      <c r="C19" s="146">
        <v>7.6499999999999999E-2</v>
      </c>
      <c r="D19" s="146">
        <v>7.6499999999999999E-2</v>
      </c>
      <c r="E19" s="146">
        <v>7.6499999999999999E-2</v>
      </c>
      <c r="F19" s="147">
        <v>7.6499999999999999E-2</v>
      </c>
      <c r="G19" s="153">
        <v>7.6499999999999999E-2</v>
      </c>
      <c r="H19" s="232">
        <v>7.6499999999999999E-2</v>
      </c>
    </row>
    <row r="20" spans="1:10">
      <c r="A20" s="218"/>
      <c r="B20" s="218"/>
      <c r="C20" s="219"/>
      <c r="D20" s="219"/>
      <c r="E20" s="219"/>
      <c r="F20" s="220"/>
      <c r="G20" s="159"/>
      <c r="H20" s="211"/>
    </row>
    <row r="21" spans="1:10">
      <c r="A21" s="218" t="s">
        <v>257</v>
      </c>
      <c r="B21" s="218"/>
      <c r="C21" s="138">
        <f t="shared" ref="C21:H21" si="0">+C17*C19</f>
        <v>5041.1141250000001</v>
      </c>
      <c r="D21" s="138">
        <f t="shared" si="0"/>
        <v>5041.1141250000001</v>
      </c>
      <c r="E21" s="138">
        <f t="shared" si="0"/>
        <v>5873.4404999999997</v>
      </c>
      <c r="F21" s="148">
        <f t="shared" si="0"/>
        <v>5260.2929999999997</v>
      </c>
      <c r="G21" s="154">
        <f t="shared" si="0"/>
        <v>5564.3805000000002</v>
      </c>
      <c r="H21" s="230">
        <f t="shared" si="0"/>
        <v>5564.3805000000002</v>
      </c>
      <c r="J21" s="162"/>
    </row>
    <row r="22" spans="1:10">
      <c r="A22" s="218"/>
      <c r="B22" s="218"/>
      <c r="C22" s="219"/>
      <c r="D22" s="219"/>
      <c r="E22" s="219"/>
      <c r="F22" s="220"/>
      <c r="G22" s="159"/>
      <c r="H22" s="211"/>
    </row>
    <row r="23" spans="1:10">
      <c r="A23" s="233" t="s">
        <v>258</v>
      </c>
      <c r="B23" s="234"/>
      <c r="C23" s="235">
        <f t="shared" ref="C23:H23" si="1">+C17+C21</f>
        <v>70938.030791666679</v>
      </c>
      <c r="D23" s="235">
        <f t="shared" si="1"/>
        <v>70938.030791666679</v>
      </c>
      <c r="E23" s="235">
        <f t="shared" si="1"/>
        <v>82650.440499999997</v>
      </c>
      <c r="F23" s="236">
        <f t="shared" si="1"/>
        <v>74022.293000000005</v>
      </c>
      <c r="G23" s="169">
        <f t="shared" si="1"/>
        <v>78301.380499999999</v>
      </c>
      <c r="H23" s="237">
        <f t="shared" si="1"/>
        <v>78301.380499999999</v>
      </c>
    </row>
    <row r="24" spans="1:10">
      <c r="A24" s="238"/>
      <c r="B24" s="238"/>
      <c r="C24" s="238"/>
      <c r="D24" s="238"/>
      <c r="E24" s="238"/>
      <c r="F24" s="238"/>
      <c r="G24" s="238"/>
      <c r="H24" s="238"/>
    </row>
    <row r="25" spans="1:10">
      <c r="A25" s="239" t="s">
        <v>265</v>
      </c>
      <c r="B25" s="201"/>
      <c r="C25" s="240"/>
      <c r="D25" s="240"/>
      <c r="E25" s="240"/>
      <c r="F25" s="241"/>
      <c r="G25" s="264"/>
      <c r="H25" s="241"/>
    </row>
    <row r="26" spans="1:10">
      <c r="A26" s="218" t="s">
        <v>259</v>
      </c>
      <c r="B26" s="218"/>
      <c r="C26" s="138">
        <f>6011.15*C8</f>
        <v>5760.6854166666662</v>
      </c>
      <c r="D26" s="138"/>
      <c r="E26" s="138">
        <f>6011.15*E8</f>
        <v>6011.15</v>
      </c>
      <c r="F26" s="148">
        <f>6011.15</f>
        <v>6011.15</v>
      </c>
      <c r="G26" s="149">
        <v>4973</v>
      </c>
      <c r="H26" s="145"/>
      <c r="J26" s="162"/>
    </row>
    <row r="27" spans="1:10">
      <c r="A27" s="218" t="s">
        <v>295</v>
      </c>
      <c r="B27" s="218"/>
      <c r="C27" s="137">
        <v>0</v>
      </c>
      <c r="D27" s="137">
        <v>0</v>
      </c>
      <c r="E27" s="137">
        <v>0</v>
      </c>
      <c r="F27" s="145">
        <v>0</v>
      </c>
      <c r="G27" s="149">
        <v>2600</v>
      </c>
      <c r="H27" s="145"/>
      <c r="J27" s="162"/>
    </row>
    <row r="28" spans="1:10">
      <c r="A28" s="218" t="s">
        <v>296</v>
      </c>
      <c r="B28" s="218"/>
      <c r="C28" s="138">
        <f>+C26+C27</f>
        <v>5760.6854166666662</v>
      </c>
      <c r="D28" s="138">
        <f t="shared" ref="D28:G28" si="2">+D26+D27</f>
        <v>0</v>
      </c>
      <c r="E28" s="138">
        <f t="shared" si="2"/>
        <v>6011.15</v>
      </c>
      <c r="F28" s="148">
        <f t="shared" si="2"/>
        <v>6011.15</v>
      </c>
      <c r="G28" s="151">
        <f t="shared" si="2"/>
        <v>7573</v>
      </c>
      <c r="H28" s="145"/>
      <c r="J28" s="162"/>
    </row>
    <row r="29" spans="1:10">
      <c r="A29" s="218" t="s">
        <v>260</v>
      </c>
      <c r="B29" s="218"/>
      <c r="C29" s="146">
        <v>0.25</v>
      </c>
      <c r="D29" s="146"/>
      <c r="E29" s="146">
        <v>0.25</v>
      </c>
      <c r="F29" s="147">
        <v>0.25</v>
      </c>
      <c r="G29" s="150">
        <v>0.25</v>
      </c>
      <c r="H29" s="147"/>
    </row>
    <row r="30" spans="1:10">
      <c r="A30" s="226" t="s">
        <v>262</v>
      </c>
      <c r="B30" s="226"/>
      <c r="C30" s="242">
        <f>+C28/(1-C29)</f>
        <v>7680.9138888888883</v>
      </c>
      <c r="D30" s="243">
        <v>8015</v>
      </c>
      <c r="E30" s="242">
        <f>ROUND(+E28/(1-E29),0)</f>
        <v>8015</v>
      </c>
      <c r="F30" s="244">
        <f>+F28/(1-F29)</f>
        <v>8014.8666666666659</v>
      </c>
      <c r="G30" s="265">
        <f>ROUND(+G28/(1-G29),0)</f>
        <v>10097</v>
      </c>
      <c r="H30" s="244"/>
    </row>
    <row r="31" spans="1:10">
      <c r="A31" s="218"/>
      <c r="B31" s="218"/>
      <c r="C31" s="138"/>
      <c r="D31" s="138"/>
      <c r="E31" s="138"/>
      <c r="F31" s="220"/>
      <c r="G31" s="163"/>
      <c r="H31" s="220"/>
    </row>
    <row r="32" spans="1:10">
      <c r="A32" s="218" t="s">
        <v>263</v>
      </c>
      <c r="B32" s="218"/>
      <c r="C32" s="137">
        <v>0</v>
      </c>
      <c r="D32" s="137">
        <v>0</v>
      </c>
      <c r="E32" s="137">
        <v>8015</v>
      </c>
      <c r="F32" s="145">
        <v>0</v>
      </c>
      <c r="G32" s="149">
        <v>2600</v>
      </c>
      <c r="H32" s="145"/>
    </row>
    <row r="33" spans="1:8">
      <c r="A33" s="234" t="s">
        <v>264</v>
      </c>
      <c r="B33" s="234"/>
      <c r="C33" s="245">
        <f>+C30-C32</f>
        <v>7680.9138888888883</v>
      </c>
      <c r="D33" s="245">
        <f>+D30-D32</f>
        <v>8015</v>
      </c>
      <c r="E33" s="245">
        <f>+E30-E32</f>
        <v>0</v>
      </c>
      <c r="F33" s="246">
        <f>+F30-F32</f>
        <v>8014.8666666666659</v>
      </c>
      <c r="G33" s="266">
        <f>+G30-G32</f>
        <v>7497</v>
      </c>
      <c r="H33" s="246"/>
    </row>
    <row r="34" spans="1:8">
      <c r="A34" s="238"/>
      <c r="B34" s="238"/>
      <c r="C34" s="238"/>
      <c r="D34" s="238"/>
      <c r="E34" s="238"/>
      <c r="F34" s="238"/>
      <c r="G34" s="238"/>
      <c r="H34" s="238"/>
    </row>
    <row r="35" spans="1:8">
      <c r="A35" s="239" t="s">
        <v>203</v>
      </c>
      <c r="B35" s="201"/>
      <c r="C35" s="247">
        <v>0.11</v>
      </c>
      <c r="D35" s="247">
        <v>0.11</v>
      </c>
      <c r="E35" s="247">
        <v>0.11</v>
      </c>
      <c r="F35" s="248">
        <v>0.11</v>
      </c>
      <c r="G35" s="196">
        <v>0.11</v>
      </c>
      <c r="H35" s="248"/>
    </row>
    <row r="36" spans="1:8">
      <c r="A36" s="218" t="s">
        <v>270</v>
      </c>
      <c r="B36" s="218"/>
      <c r="C36" s="177">
        <f>+C23</f>
        <v>70938.030791666679</v>
      </c>
      <c r="D36" s="177">
        <f t="shared" ref="D36:G36" si="3">+D23</f>
        <v>70938.030791666679</v>
      </c>
      <c r="E36" s="177">
        <f>+E23</f>
        <v>82650.440499999997</v>
      </c>
      <c r="F36" s="249">
        <f t="shared" si="3"/>
        <v>74022.293000000005</v>
      </c>
      <c r="G36" s="197">
        <f t="shared" si="3"/>
        <v>78301.380499999999</v>
      </c>
      <c r="H36" s="249"/>
    </row>
    <row r="37" spans="1:8">
      <c r="A37" s="218" t="s">
        <v>266</v>
      </c>
      <c r="B37" s="218"/>
      <c r="C37" s="177">
        <f>+C36*C35</f>
        <v>7803.1833870833343</v>
      </c>
      <c r="D37" s="250">
        <f>((+D36+D38)+(D19*D30))*D35</f>
        <v>8752.2796120833355</v>
      </c>
      <c r="E37" s="177">
        <f>+E36*E35</f>
        <v>9091.5484550000001</v>
      </c>
      <c r="F37" s="249">
        <f t="shared" ref="F37" si="4">+F36*F35</f>
        <v>8142.4522300000008</v>
      </c>
      <c r="G37" s="197">
        <f>ROUND(+G36*G35,0)</f>
        <v>8613</v>
      </c>
      <c r="H37" s="251">
        <v>8613</v>
      </c>
    </row>
    <row r="38" spans="1:8">
      <c r="A38" s="218" t="s">
        <v>267</v>
      </c>
      <c r="B38" s="218"/>
      <c r="C38" s="177">
        <f>+C33</f>
        <v>7680.9138888888883</v>
      </c>
      <c r="D38" s="177">
        <f>+D33</f>
        <v>8015</v>
      </c>
      <c r="E38" s="177">
        <f>+E33</f>
        <v>0</v>
      </c>
      <c r="F38" s="249">
        <f t="shared" ref="F38:G38" si="5">+F33</f>
        <v>8014.8666666666659</v>
      </c>
      <c r="G38" s="197">
        <f t="shared" si="5"/>
        <v>7497</v>
      </c>
      <c r="H38" s="251">
        <v>5090</v>
      </c>
    </row>
    <row r="39" spans="1:8">
      <c r="A39" s="226" t="s">
        <v>268</v>
      </c>
      <c r="B39" s="226"/>
      <c r="C39" s="252">
        <f>+C37+C38</f>
        <v>15484.097275972223</v>
      </c>
      <c r="D39" s="252">
        <f>+D37+D38</f>
        <v>16767.279612083337</v>
      </c>
      <c r="E39" s="252">
        <f>+E37+E38</f>
        <v>9091.5484550000001</v>
      </c>
      <c r="F39" s="253">
        <f t="shared" ref="F39:G39" si="6">+F37+F38</f>
        <v>16157.318896666668</v>
      </c>
      <c r="G39" s="199">
        <f t="shared" si="6"/>
        <v>16110</v>
      </c>
      <c r="H39" s="254">
        <f>+H37+H38</f>
        <v>13703</v>
      </c>
    </row>
    <row r="40" spans="1:8">
      <c r="A40" s="234" t="s">
        <v>278</v>
      </c>
      <c r="B40" s="234"/>
      <c r="C40" s="255">
        <f t="shared" ref="C40:F40" si="7">+C39/C36</f>
        <v>0.21827639001491975</v>
      </c>
      <c r="D40" s="255">
        <f t="shared" si="7"/>
        <v>0.23636516865440033</v>
      </c>
      <c r="E40" s="255">
        <f t="shared" si="7"/>
        <v>0.11</v>
      </c>
      <c r="F40" s="256">
        <f t="shared" si="7"/>
        <v>0.21827639001491977</v>
      </c>
      <c r="G40" s="200">
        <f>+G39/G36</f>
        <v>0.20574349899233257</v>
      </c>
      <c r="H40" s="256"/>
    </row>
    <row r="41" spans="1:8">
      <c r="A41" s="238"/>
      <c r="B41" s="238"/>
      <c r="C41" s="238"/>
      <c r="D41" s="238"/>
      <c r="E41" s="238"/>
      <c r="F41" s="238"/>
      <c r="G41" s="238"/>
      <c r="H41" s="238"/>
    </row>
    <row r="42" spans="1:8">
      <c r="A42" s="239" t="s">
        <v>277</v>
      </c>
      <c r="B42" s="201"/>
      <c r="C42" s="240"/>
      <c r="D42" s="240"/>
      <c r="E42" s="240"/>
      <c r="F42" s="241"/>
      <c r="G42" s="264"/>
      <c r="H42" s="241"/>
    </row>
    <row r="43" spans="1:8">
      <c r="A43" s="218" t="s">
        <v>206</v>
      </c>
      <c r="B43" s="218"/>
      <c r="C43" s="257">
        <v>0.03</v>
      </c>
      <c r="D43" s="257">
        <v>0.03</v>
      </c>
      <c r="E43" s="257">
        <v>0.03</v>
      </c>
      <c r="F43" s="258">
        <v>0.03</v>
      </c>
      <c r="G43" s="267">
        <v>2.5000000000000001E-2</v>
      </c>
      <c r="H43" s="258">
        <v>2.5000000000000001E-2</v>
      </c>
    </row>
    <row r="44" spans="1:8">
      <c r="A44" s="218" t="s">
        <v>207</v>
      </c>
      <c r="B44" s="218"/>
      <c r="C44" s="257">
        <v>3.0000000000000001E-3</v>
      </c>
      <c r="D44" s="257">
        <v>3.0000000000000001E-3</v>
      </c>
      <c r="E44" s="257">
        <v>3.0000000000000001E-3</v>
      </c>
      <c r="F44" s="258">
        <v>3.0000000000000001E-3</v>
      </c>
      <c r="G44" s="267">
        <v>2E-3</v>
      </c>
      <c r="H44" s="258">
        <v>2E-3</v>
      </c>
    </row>
    <row r="45" spans="1:8">
      <c r="A45" s="218" t="s">
        <v>208</v>
      </c>
      <c r="B45" s="218"/>
      <c r="C45" s="257">
        <v>7.0000000000000001E-3</v>
      </c>
      <c r="D45" s="257">
        <v>7.0000000000000001E-3</v>
      </c>
      <c r="E45" s="257">
        <v>7.0000000000000001E-3</v>
      </c>
      <c r="F45" s="258">
        <v>7.0000000000000001E-3</v>
      </c>
      <c r="G45" s="267">
        <v>7.0000000000000001E-3</v>
      </c>
      <c r="H45" s="258">
        <v>7.0000000000000001E-3</v>
      </c>
    </row>
    <row r="46" spans="1:8">
      <c r="A46" s="218" t="s">
        <v>280</v>
      </c>
      <c r="B46" s="218"/>
      <c r="C46" s="259">
        <f>+C43+C44+C45</f>
        <v>0.04</v>
      </c>
      <c r="D46" s="259">
        <f t="shared" ref="D46:H46" si="8">+D43+D44+D45</f>
        <v>0.04</v>
      </c>
      <c r="E46" s="259">
        <f t="shared" si="8"/>
        <v>0.04</v>
      </c>
      <c r="F46" s="260">
        <f t="shared" si="8"/>
        <v>0.04</v>
      </c>
      <c r="G46" s="268">
        <f t="shared" si="8"/>
        <v>3.4000000000000002E-2</v>
      </c>
      <c r="H46" s="260">
        <f t="shared" si="8"/>
        <v>3.4000000000000002E-2</v>
      </c>
    </row>
    <row r="47" spans="1:8">
      <c r="A47" s="218" t="s">
        <v>270</v>
      </c>
      <c r="B47" s="218"/>
      <c r="C47" s="177">
        <f>+C23</f>
        <v>70938.030791666679</v>
      </c>
      <c r="D47" s="177">
        <f t="shared" ref="D47:G47" si="9">+D23</f>
        <v>70938.030791666679</v>
      </c>
      <c r="E47" s="177">
        <f t="shared" ref="E47" si="10">+E23</f>
        <v>82650.440499999997</v>
      </c>
      <c r="F47" s="249">
        <f t="shared" si="9"/>
        <v>74022.293000000005</v>
      </c>
      <c r="G47" s="197">
        <f t="shared" si="9"/>
        <v>78301.380499999999</v>
      </c>
      <c r="H47" s="249">
        <f t="shared" ref="H47" si="11">+H23</f>
        <v>78301.380499999999</v>
      </c>
    </row>
    <row r="48" spans="1:8" ht="43.5">
      <c r="A48" s="261" t="s">
        <v>284</v>
      </c>
      <c r="B48" s="218"/>
      <c r="C48" s="177">
        <f>+C30</f>
        <v>7680.9138888888883</v>
      </c>
      <c r="D48" s="177">
        <f t="shared" ref="D48:F48" si="12">+D30</f>
        <v>8015</v>
      </c>
      <c r="E48" s="262">
        <v>0</v>
      </c>
      <c r="F48" s="249">
        <f t="shared" si="12"/>
        <v>8014.8666666666659</v>
      </c>
      <c r="G48" s="198">
        <v>0</v>
      </c>
      <c r="H48" s="251">
        <v>0</v>
      </c>
    </row>
    <row r="49" spans="1:10" ht="29">
      <c r="A49" s="261" t="s">
        <v>282</v>
      </c>
      <c r="B49" s="218"/>
      <c r="C49" s="177">
        <f>+C33*C19</f>
        <v>587.58991249999997</v>
      </c>
      <c r="D49" s="177">
        <f t="shared" ref="D49:F49" si="13">+D33*D19</f>
        <v>613.14750000000004</v>
      </c>
      <c r="E49" s="177">
        <f t="shared" ref="E49" si="14">+E33*E19</f>
        <v>0</v>
      </c>
      <c r="F49" s="249">
        <f t="shared" si="13"/>
        <v>613.13729999999998</v>
      </c>
      <c r="G49" s="197"/>
      <c r="H49" s="249"/>
    </row>
    <row r="50" spans="1:10">
      <c r="A50" s="174" t="s">
        <v>281</v>
      </c>
      <c r="B50" s="174"/>
      <c r="C50" s="175">
        <f>SUM(C47:C49)</f>
        <v>79206.534593055563</v>
      </c>
      <c r="D50" s="175">
        <f t="shared" ref="D50:H50" si="15">SUM(D47:D49)</f>
        <v>79566.178291666685</v>
      </c>
      <c r="E50" s="175">
        <f t="shared" si="15"/>
        <v>82650.440499999997</v>
      </c>
      <c r="F50" s="176">
        <f t="shared" si="15"/>
        <v>82650.296966666676</v>
      </c>
      <c r="G50" s="197">
        <f t="shared" si="15"/>
        <v>78301.380499999999</v>
      </c>
      <c r="H50" s="176">
        <f t="shared" si="15"/>
        <v>78301.380499999999</v>
      </c>
    </row>
    <row r="51" spans="1:10">
      <c r="A51" s="180" t="s">
        <v>279</v>
      </c>
      <c r="B51" s="180"/>
      <c r="C51" s="181">
        <f>+C50*C46</f>
        <v>3168.2613837222225</v>
      </c>
      <c r="D51" s="181">
        <f>+D50*D46+1</f>
        <v>3183.6471316666675</v>
      </c>
      <c r="E51" s="181">
        <f>+E50*E46+1</f>
        <v>3307.0176200000001</v>
      </c>
      <c r="F51" s="182">
        <f>+F50*F46+1</f>
        <v>3307.0118786666671</v>
      </c>
      <c r="G51" s="168">
        <f>ROUND(+G50*G46,0)</f>
        <v>2662</v>
      </c>
      <c r="H51" s="182">
        <f t="shared" ref="H51" si="16">+H50*H46</f>
        <v>2662.2469370000003</v>
      </c>
    </row>
    <row r="52" spans="1:10">
      <c r="D52" s="162"/>
      <c r="E52" s="162"/>
    </row>
    <row r="53" spans="1:10">
      <c r="A53" s="170" t="s">
        <v>113</v>
      </c>
      <c r="B53" s="171"/>
      <c r="C53" s="184"/>
      <c r="D53" s="184"/>
      <c r="E53" s="184"/>
      <c r="F53" s="185"/>
      <c r="G53" s="269"/>
      <c r="H53" s="185"/>
    </row>
    <row r="54" spans="1:10">
      <c r="A54" s="174" t="s">
        <v>286</v>
      </c>
      <c r="B54" s="174"/>
      <c r="C54" s="178">
        <v>1500</v>
      </c>
      <c r="D54" s="178">
        <v>1500</v>
      </c>
      <c r="E54" s="178">
        <v>1500</v>
      </c>
      <c r="F54" s="179">
        <v>1500</v>
      </c>
      <c r="G54" s="270">
        <v>1500</v>
      </c>
      <c r="H54" s="179">
        <v>1500</v>
      </c>
    </row>
    <row r="55" spans="1:10">
      <c r="A55" s="174" t="s">
        <v>287</v>
      </c>
      <c r="B55" s="174"/>
      <c r="C55" s="178">
        <v>1000</v>
      </c>
      <c r="D55" s="178">
        <v>1000</v>
      </c>
      <c r="E55" s="178">
        <v>1000</v>
      </c>
      <c r="F55" s="179">
        <v>1000</v>
      </c>
      <c r="G55" s="270">
        <v>1000</v>
      </c>
      <c r="H55" s="179">
        <v>700</v>
      </c>
      <c r="I55" s="183"/>
    </row>
    <row r="56" spans="1:10">
      <c r="A56" s="174" t="s">
        <v>113</v>
      </c>
      <c r="B56" s="174"/>
      <c r="C56" s="178">
        <v>600</v>
      </c>
      <c r="D56" s="178">
        <v>600</v>
      </c>
      <c r="E56" s="178">
        <v>600</v>
      </c>
      <c r="F56" s="179">
        <v>600</v>
      </c>
      <c r="G56" s="270">
        <v>600</v>
      </c>
      <c r="H56" s="179">
        <v>600</v>
      </c>
    </row>
    <row r="57" spans="1:10">
      <c r="A57" s="186" t="s">
        <v>311</v>
      </c>
      <c r="B57" s="186"/>
      <c r="C57" s="187"/>
      <c r="D57" s="187"/>
      <c r="E57" s="187"/>
      <c r="F57" s="188"/>
      <c r="G57" s="275">
        <f>40*12</f>
        <v>480</v>
      </c>
      <c r="H57" s="276">
        <f>25*12</f>
        <v>300</v>
      </c>
    </row>
    <row r="58" spans="1:10">
      <c r="A58" s="189" t="s">
        <v>289</v>
      </c>
      <c r="B58" s="189"/>
      <c r="C58" s="190">
        <f>+SUM(C54:C57)</f>
        <v>3100</v>
      </c>
      <c r="D58" s="190">
        <f t="shared" ref="D58:H58" si="17">+SUM(D54:D57)</f>
        <v>3100</v>
      </c>
      <c r="E58" s="190">
        <f t="shared" si="17"/>
        <v>3100</v>
      </c>
      <c r="F58" s="191">
        <f t="shared" si="17"/>
        <v>3100</v>
      </c>
      <c r="G58" s="271">
        <f t="shared" si="17"/>
        <v>3580</v>
      </c>
      <c r="H58" s="191">
        <f t="shared" si="17"/>
        <v>3100</v>
      </c>
    </row>
    <row r="60" spans="1:10">
      <c r="A60" s="192" t="s">
        <v>288</v>
      </c>
      <c r="B60" s="192"/>
      <c r="C60" s="193">
        <f>+C23+C39+C51+C58</f>
        <v>92690.389451361116</v>
      </c>
      <c r="D60" s="193">
        <f t="shared" ref="D60:H60" si="18">+D23+D39+D51+D58</f>
        <v>93988.957535416688</v>
      </c>
      <c r="E60" s="193">
        <f t="shared" si="18"/>
        <v>98149.006574999992</v>
      </c>
      <c r="F60" s="194">
        <f t="shared" si="18"/>
        <v>96586.623775333341</v>
      </c>
      <c r="G60" s="195">
        <f t="shared" si="18"/>
        <v>100653.3805</v>
      </c>
      <c r="H60" s="194">
        <f t="shared" si="18"/>
        <v>97766.627437000003</v>
      </c>
      <c r="J60" s="162"/>
    </row>
    <row r="61" spans="1:10">
      <c r="A61" s="274"/>
      <c r="B61" s="274"/>
      <c r="C61" s="252"/>
      <c r="D61" s="252"/>
      <c r="E61" s="252"/>
      <c r="F61" s="252"/>
      <c r="G61" s="252"/>
      <c r="H61" s="252"/>
    </row>
    <row r="62" spans="1:10">
      <c r="A62" s="171"/>
      <c r="B62" s="172"/>
      <c r="C62" s="172" t="s">
        <v>291</v>
      </c>
      <c r="D62" s="172"/>
      <c r="E62" s="172"/>
      <c r="F62" s="172"/>
      <c r="G62" s="172"/>
      <c r="H62" s="173"/>
    </row>
    <row r="63" spans="1:10">
      <c r="A63" s="166" t="s">
        <v>292</v>
      </c>
      <c r="B63" s="273"/>
      <c r="C63" s="167">
        <f>+C60-C21</f>
        <v>87649.275326361123</v>
      </c>
      <c r="D63" s="167">
        <f>+D60-D21</f>
        <v>88947.843410416681</v>
      </c>
      <c r="E63" s="167">
        <f>+E60-E21</f>
        <v>92275.566074999995</v>
      </c>
      <c r="F63" s="167">
        <f t="shared" ref="F63:H63" si="19">+F60-F21</f>
        <v>91326.330775333336</v>
      </c>
      <c r="G63" s="167">
        <f t="shared" si="19"/>
        <v>95089</v>
      </c>
      <c r="H63" s="168">
        <f t="shared" si="19"/>
        <v>92202.246937000004</v>
      </c>
    </row>
    <row r="64" spans="1:10">
      <c r="G64" s="272"/>
    </row>
  </sheetData>
  <mergeCells count="2">
    <mergeCell ref="A13:A15"/>
    <mergeCell ref="B1:F1"/>
  </mergeCells>
  <pageMargins left="0.7" right="0.7" top="0.75" bottom="0.75" header="0.3" footer="0.3"/>
  <pageSetup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2"/>
  <sheetViews>
    <sheetView showGridLines="0" workbookViewId="0">
      <selection activeCell="A54" sqref="A54"/>
    </sheetView>
  </sheetViews>
  <sheetFormatPr defaultRowHeight="14.5"/>
  <cols>
    <col min="1" max="1" width="7.453125" style="155" customWidth="1"/>
    <col min="2" max="2" width="39.26953125" style="155" customWidth="1"/>
    <col min="3" max="3" width="12.08984375" style="155" bestFit="1" customWidth="1"/>
    <col min="4" max="4" width="4" style="155" customWidth="1"/>
    <col min="5" max="5" width="4.54296875" style="155" customWidth="1"/>
    <col min="6" max="6" width="4" style="155" customWidth="1"/>
    <col min="7" max="7" width="4.54296875" style="155" customWidth="1"/>
    <col min="8" max="8" width="4" style="155" customWidth="1"/>
    <col min="9" max="9" width="4.54296875" style="155" customWidth="1"/>
    <col min="10" max="10" width="4" style="155" customWidth="1"/>
    <col min="11" max="11" width="4.54296875" style="155" customWidth="1"/>
    <col min="12" max="16384" width="8.7265625" style="155"/>
  </cols>
  <sheetData>
    <row r="1" spans="1:12" ht="21">
      <c r="A1" s="536" t="s">
        <v>378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</row>
    <row r="2" spans="1:12" ht="18.5">
      <c r="A2" s="537" t="s">
        <v>384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</row>
    <row r="3" spans="1:12" ht="15" thickBot="1"/>
    <row r="4" spans="1:12" ht="15" thickTop="1">
      <c r="A4" s="431" t="s">
        <v>316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3"/>
    </row>
    <row r="5" spans="1:12">
      <c r="A5" s="434"/>
      <c r="B5" s="379" t="s">
        <v>52</v>
      </c>
      <c r="C5" s="380">
        <v>15624</v>
      </c>
      <c r="D5" s="384"/>
      <c r="E5" s="379"/>
      <c r="F5" s="379"/>
      <c r="G5" s="379"/>
      <c r="H5" s="379"/>
      <c r="I5" s="379"/>
      <c r="J5" s="379"/>
      <c r="K5" s="379"/>
      <c r="L5" s="388"/>
    </row>
    <row r="6" spans="1:12">
      <c r="A6" s="434"/>
      <c r="B6" s="379" t="s">
        <v>177</v>
      </c>
      <c r="C6" s="380">
        <v>5208</v>
      </c>
      <c r="D6" s="379"/>
      <c r="E6" s="379"/>
      <c r="F6" s="379"/>
      <c r="G6" s="379"/>
      <c r="H6" s="379"/>
      <c r="I6" s="379"/>
      <c r="J6" s="379"/>
      <c r="K6" s="379"/>
      <c r="L6" s="388"/>
    </row>
    <row r="7" spans="1:12">
      <c r="A7" s="434"/>
      <c r="B7" s="379" t="s">
        <v>319</v>
      </c>
      <c r="C7" s="380">
        <v>1000</v>
      </c>
      <c r="D7" s="379" t="s">
        <v>320</v>
      </c>
      <c r="E7" s="379"/>
      <c r="F7" s="379"/>
      <c r="G7" s="379"/>
      <c r="H7" s="379"/>
      <c r="I7" s="379"/>
      <c r="J7" s="379"/>
      <c r="K7" s="379"/>
      <c r="L7" s="388"/>
    </row>
    <row r="8" spans="1:12">
      <c r="A8" s="434"/>
      <c r="B8" s="379" t="s">
        <v>123</v>
      </c>
      <c r="C8" s="380">
        <v>1000</v>
      </c>
      <c r="D8" s="379"/>
      <c r="E8" s="379"/>
      <c r="F8" s="379"/>
      <c r="G8" s="379"/>
      <c r="H8" s="379"/>
      <c r="I8" s="379"/>
      <c r="J8" s="379"/>
      <c r="K8" s="379"/>
      <c r="L8" s="388"/>
    </row>
    <row r="9" spans="1:12">
      <c r="A9" s="434"/>
      <c r="B9" s="379" t="s">
        <v>112</v>
      </c>
      <c r="C9" s="380">
        <v>900</v>
      </c>
      <c r="D9" s="379"/>
      <c r="E9" s="379"/>
      <c r="F9" s="379"/>
      <c r="G9" s="379"/>
      <c r="H9" s="379"/>
      <c r="I9" s="379"/>
      <c r="J9" s="379"/>
      <c r="K9" s="379"/>
      <c r="L9" s="388"/>
    </row>
    <row r="10" spans="1:12" ht="15" thickBot="1">
      <c r="A10" s="435" t="s">
        <v>200</v>
      </c>
      <c r="B10" s="408"/>
      <c r="C10" s="407">
        <f>SUM(C5:C9)</f>
        <v>23732</v>
      </c>
      <c r="D10" s="408"/>
      <c r="E10" s="408"/>
      <c r="F10" s="408"/>
      <c r="G10" s="408"/>
      <c r="H10" s="408"/>
      <c r="I10" s="408"/>
      <c r="J10" s="408"/>
      <c r="K10" s="408"/>
      <c r="L10" s="409"/>
    </row>
    <row r="11" spans="1:12" ht="15.5" thickTop="1" thickBot="1"/>
    <row r="12" spans="1:12" ht="15" thickTop="1">
      <c r="A12" s="431" t="s">
        <v>328</v>
      </c>
      <c r="B12" s="432"/>
      <c r="C12" s="432"/>
      <c r="D12" s="432"/>
      <c r="E12" s="432"/>
      <c r="F12" s="432"/>
      <c r="G12" s="432"/>
      <c r="H12" s="432"/>
      <c r="I12" s="432"/>
      <c r="J12" s="432"/>
      <c r="K12" s="432"/>
      <c r="L12" s="433"/>
    </row>
    <row r="13" spans="1:12">
      <c r="A13" s="434"/>
      <c r="B13" s="379"/>
      <c r="C13" s="379"/>
      <c r="D13" s="436">
        <v>4</v>
      </c>
      <c r="E13" s="379" t="s">
        <v>335</v>
      </c>
      <c r="F13" s="436">
        <v>4</v>
      </c>
      <c r="G13" s="379" t="s">
        <v>338</v>
      </c>
      <c r="H13" s="436">
        <v>4</v>
      </c>
      <c r="I13" s="379" t="s">
        <v>333</v>
      </c>
      <c r="J13" s="436">
        <v>4</v>
      </c>
      <c r="K13" s="379" t="s">
        <v>340</v>
      </c>
      <c r="L13" s="388"/>
    </row>
    <row r="14" spans="1:12">
      <c r="A14" s="434"/>
      <c r="B14" s="379"/>
      <c r="C14" s="379"/>
      <c r="D14" s="436">
        <v>4</v>
      </c>
      <c r="E14" s="379" t="s">
        <v>336</v>
      </c>
      <c r="F14" s="436">
        <v>4</v>
      </c>
      <c r="G14" s="379" t="s">
        <v>331</v>
      </c>
      <c r="H14" s="436">
        <v>4</v>
      </c>
      <c r="I14" s="379" t="s">
        <v>339</v>
      </c>
      <c r="J14" s="436">
        <v>4</v>
      </c>
      <c r="K14" s="379" t="s">
        <v>341</v>
      </c>
      <c r="L14" s="388"/>
    </row>
    <row r="15" spans="1:12">
      <c r="A15" s="439" t="s">
        <v>329</v>
      </c>
      <c r="B15" s="440" t="s">
        <v>330</v>
      </c>
      <c r="C15" s="441">
        <f>+SUM(D13:D15)+SUM(F13:F15)+SUM(H13:H15)+SUM(J13:J15)</f>
        <v>52</v>
      </c>
      <c r="D15" s="442">
        <v>5</v>
      </c>
      <c r="E15" s="440" t="s">
        <v>337</v>
      </c>
      <c r="F15" s="442">
        <v>5</v>
      </c>
      <c r="G15" s="440" t="s">
        <v>332</v>
      </c>
      <c r="H15" s="442">
        <v>5</v>
      </c>
      <c r="I15" s="440" t="s">
        <v>334</v>
      </c>
      <c r="J15" s="442">
        <v>5</v>
      </c>
      <c r="K15" s="440" t="s">
        <v>342</v>
      </c>
      <c r="L15" s="443"/>
    </row>
    <row r="16" spans="1:12">
      <c r="A16" s="444"/>
      <c r="B16" s="445" t="s">
        <v>343</v>
      </c>
      <c r="C16" s="446">
        <v>4</v>
      </c>
      <c r="D16" s="445"/>
      <c r="E16" s="445"/>
      <c r="F16" s="445"/>
      <c r="G16" s="445"/>
      <c r="H16" s="445"/>
      <c r="I16" s="445"/>
      <c r="J16" s="445"/>
      <c r="K16" s="445"/>
      <c r="L16" s="447"/>
    </row>
    <row r="17" spans="1:12">
      <c r="A17" s="444"/>
      <c r="B17" s="445" t="s">
        <v>344</v>
      </c>
      <c r="C17" s="446">
        <v>6</v>
      </c>
      <c r="D17" s="445"/>
      <c r="E17" s="445"/>
      <c r="F17" s="445"/>
      <c r="G17" s="445"/>
      <c r="H17" s="445"/>
      <c r="I17" s="445"/>
      <c r="J17" s="445"/>
      <c r="K17" s="445"/>
      <c r="L17" s="447"/>
    </row>
    <row r="18" spans="1:12">
      <c r="A18" s="448"/>
      <c r="B18" s="449" t="s">
        <v>345</v>
      </c>
      <c r="C18" s="450">
        <v>1</v>
      </c>
      <c r="D18" s="449"/>
      <c r="E18" s="449"/>
      <c r="F18" s="449"/>
      <c r="G18" s="449"/>
      <c r="H18" s="449"/>
      <c r="I18" s="449"/>
      <c r="J18" s="449"/>
      <c r="K18" s="449"/>
      <c r="L18" s="451"/>
    </row>
    <row r="19" spans="1:12" ht="15" thickBot="1">
      <c r="A19" s="437"/>
      <c r="B19" s="404" t="s">
        <v>347</v>
      </c>
      <c r="C19" s="438">
        <v>15</v>
      </c>
      <c r="D19" s="404" t="s">
        <v>346</v>
      </c>
      <c r="E19" s="404"/>
      <c r="F19" s="404"/>
      <c r="G19" s="404"/>
      <c r="H19" s="404"/>
      <c r="I19" s="404"/>
      <c r="J19" s="404"/>
      <c r="K19" s="404"/>
      <c r="L19" s="405"/>
    </row>
    <row r="20" spans="1:12" ht="15" thickTop="1"/>
    <row r="21" spans="1:12" ht="21.5" thickBot="1">
      <c r="A21" s="452" t="s">
        <v>317</v>
      </c>
    </row>
    <row r="22" spans="1:12" ht="78" customHeight="1" thickTop="1" thickBot="1">
      <c r="A22" s="410" t="s">
        <v>318</v>
      </c>
      <c r="B22" s="411"/>
      <c r="C22" s="430">
        <v>3000</v>
      </c>
      <c r="D22" s="411"/>
      <c r="E22" s="534" t="s">
        <v>392</v>
      </c>
      <c r="F22" s="534"/>
      <c r="G22" s="534"/>
      <c r="H22" s="534"/>
      <c r="I22" s="534"/>
      <c r="J22" s="534"/>
      <c r="K22" s="534"/>
      <c r="L22" s="535"/>
    </row>
    <row r="23" spans="1:12" ht="15.5" thickTop="1" thickBot="1">
      <c r="A23" s="382"/>
      <c r="B23" s="238"/>
      <c r="C23" s="383"/>
      <c r="D23" s="238"/>
      <c r="E23" s="238"/>
      <c r="F23" s="238"/>
      <c r="H23" s="238"/>
      <c r="J23" s="238"/>
    </row>
    <row r="24" spans="1:12" ht="15.5" thickTop="1" thickBot="1">
      <c r="A24" s="410" t="s">
        <v>356</v>
      </c>
      <c r="B24" s="411"/>
      <c r="C24" s="411"/>
      <c r="D24" s="411"/>
      <c r="E24" s="411"/>
      <c r="F24" s="411"/>
      <c r="G24" s="411"/>
      <c r="H24" s="411"/>
      <c r="I24" s="411"/>
      <c r="J24" s="411"/>
      <c r="K24" s="411"/>
      <c r="L24" s="412"/>
    </row>
    <row r="25" spans="1:12" ht="15" thickTop="1">
      <c r="A25" s="523" t="s">
        <v>358</v>
      </c>
      <c r="B25" s="415" t="s">
        <v>363</v>
      </c>
      <c r="C25" s="416">
        <f>+C15-C19</f>
        <v>37</v>
      </c>
      <c r="D25" s="417"/>
      <c r="E25" s="417" t="s">
        <v>391</v>
      </c>
      <c r="F25" s="418"/>
      <c r="G25" s="417"/>
      <c r="H25" s="418"/>
      <c r="I25" s="417"/>
      <c r="J25" s="418"/>
      <c r="K25" s="417"/>
      <c r="L25" s="419"/>
    </row>
    <row r="26" spans="1:12">
      <c r="A26" s="524"/>
      <c r="B26" s="378" t="s">
        <v>362</v>
      </c>
      <c r="C26" s="397">
        <v>1</v>
      </c>
      <c r="D26" s="385"/>
      <c r="E26" s="379"/>
      <c r="F26" s="414"/>
      <c r="G26" s="379"/>
      <c r="H26" s="414"/>
      <c r="I26" s="379"/>
      <c r="J26" s="414"/>
      <c r="K26" s="379"/>
      <c r="L26" s="388"/>
    </row>
    <row r="27" spans="1:12">
      <c r="A27" s="524"/>
      <c r="B27" s="389" t="s">
        <v>360</v>
      </c>
      <c r="C27" s="398">
        <f>+C25*C26</f>
        <v>37</v>
      </c>
      <c r="D27" s="390"/>
      <c r="E27" s="390"/>
      <c r="F27" s="420"/>
      <c r="G27" s="390"/>
      <c r="H27" s="420"/>
      <c r="I27" s="390"/>
      <c r="J27" s="420"/>
      <c r="K27" s="390"/>
      <c r="L27" s="392"/>
    </row>
    <row r="28" spans="1:12">
      <c r="A28" s="525"/>
      <c r="B28" s="386" t="s">
        <v>327</v>
      </c>
      <c r="C28" s="396"/>
      <c r="D28" s="172"/>
      <c r="E28" s="172"/>
      <c r="F28" s="240"/>
      <c r="G28" s="172"/>
      <c r="H28" s="240"/>
      <c r="I28" s="172"/>
      <c r="J28" s="240"/>
      <c r="K28" s="172"/>
      <c r="L28" s="387"/>
    </row>
    <row r="29" spans="1:12">
      <c r="A29" s="525"/>
      <c r="B29" s="378" t="s">
        <v>325</v>
      </c>
      <c r="C29" s="397">
        <v>0</v>
      </c>
      <c r="D29" s="379"/>
      <c r="E29" s="379" t="s">
        <v>348</v>
      </c>
      <c r="F29" s="219"/>
      <c r="G29" s="379"/>
      <c r="H29" s="219"/>
      <c r="I29" s="379"/>
      <c r="J29" s="219"/>
      <c r="K29" s="379"/>
      <c r="L29" s="388"/>
    </row>
    <row r="30" spans="1:12">
      <c r="A30" s="525"/>
      <c r="B30" s="389" t="s">
        <v>326</v>
      </c>
      <c r="C30" s="398">
        <f>+C17</f>
        <v>6</v>
      </c>
      <c r="D30" s="390"/>
      <c r="E30" s="390" t="s">
        <v>349</v>
      </c>
      <c r="F30" s="391"/>
      <c r="G30" s="390"/>
      <c r="H30" s="391"/>
      <c r="I30" s="390"/>
      <c r="J30" s="391"/>
      <c r="K30" s="390"/>
      <c r="L30" s="392"/>
    </row>
    <row r="31" spans="1:12">
      <c r="A31" s="525"/>
      <c r="B31" s="386" t="s">
        <v>324</v>
      </c>
      <c r="C31" s="399">
        <f>SUM(C27:C30)</f>
        <v>43</v>
      </c>
      <c r="D31" s="172"/>
      <c r="E31" s="172"/>
      <c r="F31" s="240"/>
      <c r="G31" s="172"/>
      <c r="H31" s="240"/>
      <c r="I31" s="172"/>
      <c r="J31" s="240"/>
      <c r="K31" s="172"/>
      <c r="L31" s="387"/>
    </row>
    <row r="32" spans="1:12">
      <c r="A32" s="525"/>
      <c r="B32" s="378" t="s">
        <v>364</v>
      </c>
      <c r="C32" s="413">
        <f>C25</f>
        <v>37</v>
      </c>
      <c r="D32" s="379"/>
      <c r="E32" s="379" t="s">
        <v>361</v>
      </c>
      <c r="F32" s="219"/>
      <c r="G32" s="379"/>
      <c r="H32" s="219"/>
      <c r="I32" s="379"/>
      <c r="J32" s="219"/>
      <c r="K32" s="379"/>
      <c r="L32" s="388"/>
    </row>
    <row r="33" spans="1:14">
      <c r="A33" s="525"/>
      <c r="B33" s="389" t="s">
        <v>359</v>
      </c>
      <c r="C33" s="400">
        <f>+C31+C32</f>
        <v>80</v>
      </c>
      <c r="D33" s="390"/>
      <c r="E33" s="390"/>
      <c r="F33" s="391"/>
      <c r="G33" s="390"/>
      <c r="H33" s="391"/>
      <c r="I33" s="390"/>
      <c r="J33" s="391"/>
      <c r="K33" s="390"/>
      <c r="L33" s="392"/>
    </row>
    <row r="34" spans="1:14">
      <c r="A34" s="526" t="s">
        <v>353</v>
      </c>
      <c r="B34" s="172" t="s">
        <v>370</v>
      </c>
      <c r="C34" s="396">
        <v>6</v>
      </c>
      <c r="D34" s="172"/>
      <c r="E34" s="172" t="s">
        <v>381</v>
      </c>
      <c r="F34" s="240"/>
      <c r="G34" s="172"/>
      <c r="H34" s="240"/>
      <c r="I34" s="172"/>
      <c r="J34" s="240"/>
      <c r="K34" s="172"/>
      <c r="L34" s="387"/>
    </row>
    <row r="35" spans="1:14">
      <c r="A35" s="527"/>
      <c r="B35" s="379" t="s">
        <v>351</v>
      </c>
      <c r="C35" s="394">
        <v>25</v>
      </c>
      <c r="D35" s="379"/>
      <c r="E35" s="379"/>
      <c r="F35" s="219"/>
      <c r="G35" s="379"/>
      <c r="H35" s="219"/>
      <c r="I35" s="379"/>
      <c r="J35" s="219"/>
      <c r="K35" s="379"/>
      <c r="L35" s="388"/>
      <c r="N35" s="162"/>
    </row>
    <row r="36" spans="1:14">
      <c r="A36" s="528"/>
      <c r="B36" s="390" t="s">
        <v>352</v>
      </c>
      <c r="C36" s="395">
        <v>30</v>
      </c>
      <c r="D36" s="390"/>
      <c r="E36" s="390"/>
      <c r="F36" s="391"/>
      <c r="G36" s="390"/>
      <c r="H36" s="391"/>
      <c r="I36" s="390"/>
      <c r="J36" s="391"/>
      <c r="K36" s="390"/>
      <c r="L36" s="392"/>
    </row>
    <row r="37" spans="1:14">
      <c r="A37" s="526" t="s">
        <v>355</v>
      </c>
      <c r="B37" s="172" t="s">
        <v>350</v>
      </c>
      <c r="C37" s="401">
        <f>+C32*C34*C35</f>
        <v>5550</v>
      </c>
      <c r="D37" s="172"/>
      <c r="E37" s="172"/>
      <c r="F37" s="240"/>
      <c r="G37" s="172"/>
      <c r="H37" s="240"/>
      <c r="I37" s="172"/>
      <c r="J37" s="240"/>
      <c r="K37" s="172"/>
      <c r="L37" s="387"/>
    </row>
    <row r="38" spans="1:14">
      <c r="A38" s="527"/>
      <c r="B38" s="379" t="s">
        <v>354</v>
      </c>
      <c r="C38" s="402">
        <f>+C31*C34*C36</f>
        <v>7740</v>
      </c>
      <c r="D38" s="379"/>
      <c r="E38" s="379"/>
      <c r="F38" s="219"/>
      <c r="G38" s="403"/>
      <c r="H38" s="219"/>
      <c r="I38" s="379"/>
      <c r="J38" s="219"/>
      <c r="K38" s="379"/>
      <c r="L38" s="388"/>
    </row>
    <row r="39" spans="1:14" ht="15" thickBot="1">
      <c r="A39" s="529"/>
      <c r="B39" s="406" t="s">
        <v>365</v>
      </c>
      <c r="C39" s="407">
        <f>+C37+C38</f>
        <v>13290</v>
      </c>
      <c r="D39" s="408"/>
      <c r="E39" s="408" t="s">
        <v>382</v>
      </c>
      <c r="F39" s="408"/>
      <c r="G39" s="408"/>
      <c r="H39" s="408"/>
      <c r="I39" s="408"/>
      <c r="J39" s="408"/>
      <c r="K39" s="408"/>
      <c r="L39" s="409"/>
    </row>
    <row r="40" spans="1:14" ht="15.5" thickTop="1" thickBot="1">
      <c r="F40" s="238"/>
      <c r="H40" s="238"/>
      <c r="J40" s="238"/>
    </row>
    <row r="41" spans="1:14" ht="15.5" thickTop="1" thickBot="1">
      <c r="A41" s="410" t="s">
        <v>357</v>
      </c>
      <c r="B41" s="411"/>
      <c r="C41" s="411"/>
      <c r="D41" s="411"/>
      <c r="E41" s="411"/>
      <c r="F41" s="411"/>
      <c r="G41" s="411"/>
      <c r="H41" s="411"/>
      <c r="I41" s="411"/>
      <c r="J41" s="411"/>
      <c r="K41" s="411"/>
      <c r="L41" s="412"/>
    </row>
    <row r="42" spans="1:14" ht="15" customHeight="1" thickTop="1">
      <c r="A42" s="530" t="s">
        <v>358</v>
      </c>
      <c r="B42" s="417" t="s">
        <v>363</v>
      </c>
      <c r="C42" s="416">
        <f>+C15</f>
        <v>52</v>
      </c>
      <c r="D42" s="417"/>
      <c r="E42" s="417"/>
      <c r="F42" s="418"/>
      <c r="G42" s="417"/>
      <c r="H42" s="418"/>
      <c r="I42" s="417"/>
      <c r="J42" s="418"/>
      <c r="K42" s="417"/>
      <c r="L42" s="419"/>
    </row>
    <row r="43" spans="1:14">
      <c r="A43" s="531"/>
      <c r="B43" s="379" t="s">
        <v>362</v>
      </c>
      <c r="C43" s="397">
        <v>2</v>
      </c>
      <c r="D43" s="379"/>
      <c r="E43" s="379"/>
      <c r="F43" s="219"/>
      <c r="G43" s="379"/>
      <c r="H43" s="219"/>
      <c r="I43" s="379"/>
      <c r="J43" s="219"/>
      <c r="K43" s="379"/>
      <c r="L43" s="388"/>
    </row>
    <row r="44" spans="1:14">
      <c r="A44" s="531"/>
      <c r="B44" s="390" t="s">
        <v>360</v>
      </c>
      <c r="C44" s="398">
        <f>+C42*C43</f>
        <v>104</v>
      </c>
      <c r="D44" s="390"/>
      <c r="E44" s="390"/>
      <c r="F44" s="391"/>
      <c r="G44" s="390"/>
      <c r="H44" s="391"/>
      <c r="I44" s="390"/>
      <c r="J44" s="391"/>
      <c r="K44" s="390"/>
      <c r="L44" s="392"/>
    </row>
    <row r="45" spans="1:14">
      <c r="A45" s="531"/>
      <c r="B45" s="172" t="s">
        <v>327</v>
      </c>
      <c r="C45" s="399"/>
      <c r="D45" s="172"/>
      <c r="E45" s="172"/>
      <c r="F45" s="240"/>
      <c r="G45" s="172"/>
      <c r="H45" s="240"/>
      <c r="I45" s="172"/>
      <c r="J45" s="240"/>
      <c r="K45" s="172"/>
      <c r="L45" s="387"/>
    </row>
    <row r="46" spans="1:14">
      <c r="A46" s="531"/>
      <c r="B46" s="379" t="s">
        <v>366</v>
      </c>
      <c r="C46" s="413">
        <f>+C16</f>
        <v>4</v>
      </c>
      <c r="D46" s="379"/>
      <c r="E46" s="379"/>
      <c r="F46" s="219"/>
      <c r="G46" s="379"/>
      <c r="H46" s="219"/>
      <c r="I46" s="379"/>
      <c r="J46" s="219"/>
      <c r="K46" s="379"/>
      <c r="L46" s="388"/>
    </row>
    <row r="47" spans="1:14">
      <c r="A47" s="531"/>
      <c r="B47" s="379" t="s">
        <v>367</v>
      </c>
      <c r="C47" s="413">
        <f>+C17</f>
        <v>6</v>
      </c>
      <c r="D47" s="379"/>
      <c r="E47" s="379"/>
      <c r="F47" s="219"/>
      <c r="G47" s="379"/>
      <c r="H47" s="219"/>
      <c r="I47" s="379"/>
      <c r="J47" s="219"/>
      <c r="K47" s="379"/>
      <c r="L47" s="388"/>
    </row>
    <row r="48" spans="1:14">
      <c r="A48" s="531"/>
      <c r="B48" s="219" t="s">
        <v>368</v>
      </c>
      <c r="C48" s="422">
        <v>20</v>
      </c>
      <c r="D48" s="219"/>
      <c r="E48" s="219" t="s">
        <v>394</v>
      </c>
      <c r="F48" s="219"/>
      <c r="G48" s="219"/>
      <c r="H48" s="219"/>
      <c r="I48" s="219"/>
      <c r="J48" s="219"/>
      <c r="K48" s="219"/>
      <c r="L48" s="423"/>
    </row>
    <row r="49" spans="1:12">
      <c r="A49" s="532"/>
      <c r="B49" s="391" t="s">
        <v>369</v>
      </c>
      <c r="C49" s="391">
        <f>SUM(C44:C48)</f>
        <v>134</v>
      </c>
      <c r="D49" s="391"/>
      <c r="E49" s="391"/>
      <c r="F49" s="391"/>
      <c r="G49" s="391"/>
      <c r="H49" s="391"/>
      <c r="I49" s="391"/>
      <c r="J49" s="391"/>
      <c r="K49" s="391"/>
      <c r="L49" s="421"/>
    </row>
    <row r="50" spans="1:12">
      <c r="A50" s="520" t="s">
        <v>373</v>
      </c>
      <c r="B50" s="172" t="s">
        <v>372</v>
      </c>
      <c r="C50" s="184">
        <v>1</v>
      </c>
      <c r="D50" s="172"/>
      <c r="E50" s="172"/>
      <c r="F50" s="240"/>
      <c r="G50" s="172"/>
      <c r="H50" s="240"/>
      <c r="I50" s="172"/>
      <c r="J50" s="240"/>
      <c r="K50" s="172"/>
      <c r="L50" s="387"/>
    </row>
    <row r="51" spans="1:12">
      <c r="A51" s="519"/>
      <c r="B51" s="390" t="s">
        <v>371</v>
      </c>
      <c r="C51" s="393">
        <v>25</v>
      </c>
      <c r="D51" s="390"/>
      <c r="E51" s="390"/>
      <c r="F51" s="391"/>
      <c r="G51" s="390"/>
      <c r="H51" s="391"/>
      <c r="I51" s="390"/>
      <c r="J51" s="391"/>
      <c r="K51" s="390"/>
      <c r="L51" s="392"/>
    </row>
    <row r="52" spans="1:12" ht="29" customHeight="1" thickBot="1">
      <c r="A52" s="424" t="s">
        <v>355</v>
      </c>
      <c r="B52" s="425" t="s">
        <v>321</v>
      </c>
      <c r="C52" s="426">
        <f>+C49*C50*C51</f>
        <v>3350</v>
      </c>
      <c r="D52" s="427"/>
      <c r="E52" s="538" t="s">
        <v>393</v>
      </c>
      <c r="F52" s="538"/>
      <c r="G52" s="538"/>
      <c r="H52" s="538"/>
      <c r="I52" s="538"/>
      <c r="J52" s="538"/>
      <c r="K52" s="538"/>
      <c r="L52" s="539"/>
    </row>
    <row r="53" spans="1:12" ht="15.5" thickTop="1" thickBot="1">
      <c r="F53" s="238"/>
      <c r="H53" s="238"/>
      <c r="J53" s="238"/>
    </row>
    <row r="54" spans="1:12" ht="15.5" thickTop="1" thickBot="1">
      <c r="A54" s="410" t="s">
        <v>399</v>
      </c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2"/>
    </row>
    <row r="55" spans="1:12" ht="15" customHeight="1" thickTop="1">
      <c r="A55" s="517" t="s">
        <v>358</v>
      </c>
      <c r="B55" s="417" t="s">
        <v>363</v>
      </c>
      <c r="C55" s="416">
        <f>+C19</f>
        <v>15</v>
      </c>
      <c r="D55" s="417"/>
      <c r="E55" s="417" t="str">
        <f>+D19</f>
        <v>Memorial Day (May 27) - Labor Day (Sept 2)</v>
      </c>
      <c r="F55" s="418"/>
      <c r="G55" s="417"/>
      <c r="H55" s="418"/>
      <c r="I55" s="417"/>
      <c r="J55" s="418"/>
      <c r="K55" s="417"/>
      <c r="L55" s="419"/>
    </row>
    <row r="56" spans="1:12">
      <c r="A56" s="518"/>
      <c r="B56" s="379" t="s">
        <v>362</v>
      </c>
      <c r="C56" s="397">
        <v>1</v>
      </c>
      <c r="D56" s="379"/>
      <c r="E56" s="379"/>
      <c r="F56" s="219"/>
      <c r="G56" s="379"/>
      <c r="H56" s="219"/>
      <c r="I56" s="379"/>
      <c r="J56" s="219"/>
      <c r="K56" s="379"/>
      <c r="L56" s="388"/>
    </row>
    <row r="57" spans="1:12">
      <c r="A57" s="519"/>
      <c r="B57" s="390" t="s">
        <v>360</v>
      </c>
      <c r="C57" s="398">
        <f>+C55*C56</f>
        <v>15</v>
      </c>
      <c r="D57" s="390"/>
      <c r="E57" s="390"/>
      <c r="F57" s="391"/>
      <c r="G57" s="390"/>
      <c r="H57" s="391"/>
      <c r="I57" s="390"/>
      <c r="J57" s="391"/>
      <c r="K57" s="390"/>
      <c r="L57" s="392"/>
    </row>
    <row r="58" spans="1:12">
      <c r="A58" s="520" t="s">
        <v>373</v>
      </c>
      <c r="B58" s="172" t="s">
        <v>374</v>
      </c>
      <c r="C58" s="184">
        <v>3</v>
      </c>
      <c r="D58" s="172"/>
      <c r="E58" s="172" t="s">
        <v>375</v>
      </c>
      <c r="F58" s="240"/>
      <c r="G58" s="172"/>
      <c r="H58" s="240"/>
      <c r="I58" s="172"/>
      <c r="J58" s="240"/>
      <c r="K58" s="172"/>
      <c r="L58" s="387"/>
    </row>
    <row r="59" spans="1:12">
      <c r="A59" s="519"/>
      <c r="B59" s="390" t="s">
        <v>376</v>
      </c>
      <c r="C59" s="393">
        <v>50</v>
      </c>
      <c r="D59" s="390"/>
      <c r="E59" s="390"/>
      <c r="F59" s="391"/>
      <c r="G59" s="390"/>
      <c r="H59" s="391"/>
      <c r="I59" s="390"/>
      <c r="J59" s="391"/>
      <c r="K59" s="390"/>
      <c r="L59" s="392"/>
    </row>
    <row r="60" spans="1:12" ht="15" thickBot="1">
      <c r="A60" s="456" t="s">
        <v>355</v>
      </c>
      <c r="B60" s="453" t="s">
        <v>383</v>
      </c>
      <c r="C60" s="457">
        <f>+C57*C58*C59</f>
        <v>2250</v>
      </c>
      <c r="D60" s="240"/>
      <c r="E60" s="240"/>
      <c r="F60" s="240"/>
      <c r="G60" s="240"/>
      <c r="H60" s="240"/>
      <c r="I60" s="240"/>
      <c r="J60" s="240"/>
      <c r="K60" s="240"/>
      <c r="L60" s="454"/>
    </row>
    <row r="61" spans="1:12" ht="15" customHeight="1">
      <c r="A61" s="533" t="s">
        <v>373</v>
      </c>
      <c r="B61" s="458" t="s">
        <v>386</v>
      </c>
      <c r="C61" s="459">
        <v>2</v>
      </c>
      <c r="D61" s="458"/>
      <c r="E61" s="458" t="s">
        <v>375</v>
      </c>
      <c r="F61" s="460"/>
      <c r="G61" s="458"/>
      <c r="H61" s="460"/>
      <c r="I61" s="458"/>
      <c r="J61" s="460"/>
      <c r="K61" s="458"/>
      <c r="L61" s="461"/>
    </row>
    <row r="62" spans="1:12" ht="15" customHeight="1">
      <c r="A62" s="519"/>
      <c r="B62" s="390" t="s">
        <v>385</v>
      </c>
      <c r="C62" s="393">
        <v>25</v>
      </c>
      <c r="D62" s="390"/>
      <c r="E62" s="390"/>
      <c r="F62" s="391"/>
      <c r="G62" s="390"/>
      <c r="H62" s="391"/>
      <c r="I62" s="390"/>
      <c r="J62" s="391"/>
      <c r="K62" s="390"/>
      <c r="L62" s="392"/>
    </row>
    <row r="63" spans="1:12" ht="15" thickBot="1">
      <c r="A63" s="462" t="s">
        <v>355</v>
      </c>
      <c r="B63" s="463" t="s">
        <v>387</v>
      </c>
      <c r="C63" s="464">
        <f>+C55*C61*C62</f>
        <v>750</v>
      </c>
      <c r="D63" s="465"/>
      <c r="E63" s="465"/>
      <c r="F63" s="465"/>
      <c r="G63" s="465"/>
      <c r="H63" s="465"/>
      <c r="I63" s="465"/>
      <c r="J63" s="465"/>
      <c r="K63" s="465"/>
      <c r="L63" s="466"/>
    </row>
    <row r="64" spans="1:12" ht="15" thickBot="1">
      <c r="A64" s="424" t="s">
        <v>355</v>
      </c>
      <c r="B64" s="406" t="s">
        <v>388</v>
      </c>
      <c r="C64" s="407">
        <f>+C60+C63</f>
        <v>3000</v>
      </c>
      <c r="D64" s="408"/>
      <c r="E64" s="408"/>
      <c r="F64" s="408"/>
      <c r="G64" s="408"/>
      <c r="H64" s="408"/>
      <c r="I64" s="408"/>
      <c r="J64" s="408"/>
      <c r="K64" s="408"/>
      <c r="L64" s="409"/>
    </row>
    <row r="65" spans="1:12" ht="15.5" thickTop="1" thickBot="1">
      <c r="A65" s="455"/>
      <c r="B65" s="379"/>
      <c r="C65" s="380"/>
      <c r="D65" s="379"/>
      <c r="E65" s="379"/>
      <c r="F65" s="219"/>
      <c r="G65" s="379"/>
      <c r="H65" s="219"/>
      <c r="I65" s="379"/>
      <c r="J65" s="219"/>
      <c r="K65" s="379"/>
      <c r="L65" s="379"/>
    </row>
    <row r="66" spans="1:12" ht="15.5" thickTop="1" thickBot="1">
      <c r="A66" s="410" t="s">
        <v>323</v>
      </c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2"/>
    </row>
    <row r="67" spans="1:12" ht="15" customHeight="1" thickTop="1">
      <c r="A67" s="517" t="s">
        <v>358</v>
      </c>
      <c r="B67" s="417" t="s">
        <v>363</v>
      </c>
      <c r="C67" s="416">
        <f>+C25</f>
        <v>37</v>
      </c>
      <c r="D67" s="417"/>
      <c r="E67" s="417" t="s">
        <v>379</v>
      </c>
      <c r="F67" s="418"/>
      <c r="G67" s="417"/>
      <c r="H67" s="418"/>
      <c r="I67" s="417"/>
      <c r="J67" s="418"/>
      <c r="K67" s="417"/>
      <c r="L67" s="419"/>
    </row>
    <row r="68" spans="1:12">
      <c r="A68" s="518"/>
      <c r="B68" s="379" t="s">
        <v>362</v>
      </c>
      <c r="C68" s="397">
        <v>1</v>
      </c>
      <c r="D68" s="379"/>
      <c r="E68" s="379"/>
      <c r="F68" s="219"/>
      <c r="G68" s="379"/>
      <c r="H68" s="219"/>
      <c r="I68" s="379"/>
      <c r="J68" s="219"/>
      <c r="K68" s="379"/>
      <c r="L68" s="388"/>
    </row>
    <row r="69" spans="1:12">
      <c r="A69" s="519"/>
      <c r="B69" s="390" t="s">
        <v>360</v>
      </c>
      <c r="C69" s="398">
        <f>+C67*C68</f>
        <v>37</v>
      </c>
      <c r="D69" s="390"/>
      <c r="E69" s="390"/>
      <c r="F69" s="391"/>
      <c r="G69" s="390"/>
      <c r="H69" s="391"/>
      <c r="I69" s="390"/>
      <c r="J69" s="391"/>
      <c r="K69" s="390"/>
      <c r="L69" s="392"/>
    </row>
    <row r="70" spans="1:12">
      <c r="A70" s="520" t="s">
        <v>373</v>
      </c>
      <c r="B70" s="172" t="s">
        <v>380</v>
      </c>
      <c r="C70" s="184">
        <v>1</v>
      </c>
      <c r="D70" s="172"/>
      <c r="E70" s="172"/>
      <c r="F70" s="240"/>
      <c r="G70" s="172"/>
      <c r="H70" s="240"/>
      <c r="I70" s="172"/>
      <c r="J70" s="240"/>
      <c r="K70" s="172"/>
      <c r="L70" s="387"/>
    </row>
    <row r="71" spans="1:12">
      <c r="A71" s="519"/>
      <c r="B71" s="390" t="s">
        <v>376</v>
      </c>
      <c r="C71" s="393">
        <v>25</v>
      </c>
      <c r="D71" s="390"/>
      <c r="E71" s="390"/>
      <c r="F71" s="391"/>
      <c r="G71" s="390"/>
      <c r="H71" s="391"/>
      <c r="I71" s="390"/>
      <c r="J71" s="391"/>
      <c r="K71" s="390"/>
      <c r="L71" s="392"/>
    </row>
    <row r="72" spans="1:12" ht="15" thickBot="1">
      <c r="A72" s="424" t="s">
        <v>355</v>
      </c>
      <c r="B72" s="425" t="s">
        <v>377</v>
      </c>
      <c r="C72" s="426">
        <f>+C69*C70*C71</f>
        <v>925</v>
      </c>
      <c r="D72" s="427"/>
      <c r="E72" s="427"/>
      <c r="F72" s="427"/>
      <c r="G72" s="427"/>
      <c r="H72" s="427"/>
      <c r="I72" s="427"/>
      <c r="J72" s="427"/>
      <c r="K72" s="427"/>
      <c r="L72" s="428"/>
    </row>
    <row r="73" spans="1:12" ht="15.5" thickTop="1" thickBot="1">
      <c r="C73" s="381"/>
      <c r="F73" s="238"/>
      <c r="H73" s="238"/>
      <c r="J73" s="238"/>
    </row>
    <row r="74" spans="1:12" ht="15.5" thickTop="1" thickBot="1">
      <c r="A74" s="521" t="s">
        <v>377</v>
      </c>
      <c r="B74" s="522"/>
      <c r="C74" s="429">
        <f>+C22+C39+C52+C64+C72</f>
        <v>23565</v>
      </c>
      <c r="D74" s="411"/>
      <c r="E74" s="411"/>
      <c r="F74" s="411"/>
      <c r="G74" s="411"/>
      <c r="H74" s="411"/>
      <c r="I74" s="411"/>
      <c r="J74" s="411"/>
      <c r="K74" s="411"/>
      <c r="L74" s="412"/>
    </row>
    <row r="75" spans="1:12" ht="15" thickTop="1">
      <c r="B75" s="155" t="s">
        <v>322</v>
      </c>
      <c r="C75" s="162">
        <f>+C10-C74</f>
        <v>167</v>
      </c>
      <c r="F75" s="238"/>
      <c r="H75" s="238"/>
      <c r="J75" s="238"/>
    </row>
    <row r="76" spans="1:12">
      <c r="F76" s="238"/>
      <c r="H76" s="238"/>
      <c r="J76" s="238"/>
    </row>
    <row r="77" spans="1:12">
      <c r="F77" s="238"/>
      <c r="H77" s="238"/>
      <c r="J77" s="238"/>
    </row>
    <row r="78" spans="1:12">
      <c r="F78" s="238"/>
      <c r="H78" s="238"/>
      <c r="J78" s="238"/>
    </row>
    <row r="79" spans="1:12">
      <c r="F79" s="238"/>
      <c r="H79" s="238"/>
      <c r="J79" s="238"/>
    </row>
    <row r="80" spans="1:12">
      <c r="F80" s="238"/>
      <c r="H80" s="238"/>
      <c r="J80" s="238"/>
    </row>
    <row r="81" spans="6:10">
      <c r="F81" s="238"/>
      <c r="H81" s="238"/>
      <c r="J81" s="238"/>
    </row>
    <row r="82" spans="6:10">
      <c r="F82" s="238"/>
      <c r="H82" s="238"/>
      <c r="J82" s="238"/>
    </row>
    <row r="83" spans="6:10">
      <c r="F83" s="238"/>
      <c r="H83" s="238"/>
      <c r="J83" s="238"/>
    </row>
    <row r="84" spans="6:10">
      <c r="F84" s="238"/>
      <c r="H84" s="238"/>
      <c r="J84" s="238"/>
    </row>
    <row r="85" spans="6:10">
      <c r="F85" s="238"/>
      <c r="H85" s="238"/>
      <c r="J85" s="238"/>
    </row>
    <row r="86" spans="6:10">
      <c r="F86" s="238"/>
      <c r="H86" s="238"/>
      <c r="J86" s="238"/>
    </row>
    <row r="87" spans="6:10">
      <c r="F87" s="238"/>
      <c r="H87" s="238"/>
      <c r="J87" s="238"/>
    </row>
    <row r="88" spans="6:10">
      <c r="F88" s="238"/>
      <c r="H88" s="238"/>
      <c r="J88" s="238"/>
    </row>
    <row r="89" spans="6:10">
      <c r="F89" s="238"/>
      <c r="H89" s="238"/>
      <c r="J89" s="238"/>
    </row>
    <row r="90" spans="6:10">
      <c r="F90" s="238"/>
      <c r="H90" s="238"/>
      <c r="J90" s="238"/>
    </row>
    <row r="91" spans="6:10">
      <c r="F91" s="238"/>
      <c r="H91" s="238"/>
      <c r="J91" s="238"/>
    </row>
    <row r="92" spans="6:10">
      <c r="F92" s="238"/>
      <c r="H92" s="238"/>
      <c r="J92" s="238"/>
    </row>
  </sheetData>
  <mergeCells count="15">
    <mergeCell ref="E22:L22"/>
    <mergeCell ref="A1:L1"/>
    <mergeCell ref="A2:L2"/>
    <mergeCell ref="A55:A57"/>
    <mergeCell ref="A58:A59"/>
    <mergeCell ref="E52:L52"/>
    <mergeCell ref="A67:A69"/>
    <mergeCell ref="A70:A71"/>
    <mergeCell ref="A74:B74"/>
    <mergeCell ref="A25:A33"/>
    <mergeCell ref="A34:A36"/>
    <mergeCell ref="A37:A39"/>
    <mergeCell ref="A42:A49"/>
    <mergeCell ref="A50:A51"/>
    <mergeCell ref="A61:A62"/>
  </mergeCells>
  <printOptions horizontalCentered="1" verticalCentered="1"/>
  <pageMargins left="0.2" right="0.2" top="0.25" bottom="0.25" header="0.3" footer="0.3"/>
  <pageSetup scale="6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Top Sheet</vt:lpstr>
      <vt:lpstr>Summary New Year</vt:lpstr>
      <vt:lpstr>New Year-Full Year</vt:lpstr>
      <vt:lpstr>Pastor Detail</vt:lpstr>
      <vt:lpstr>Band Estimate</vt:lpstr>
      <vt:lpstr>Bud_Yr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Dawn Jacobson</cp:lastModifiedBy>
  <cp:lastPrinted>2018-12-10T20:37:01Z</cp:lastPrinted>
  <dcterms:created xsi:type="dcterms:W3CDTF">2011-12-01T18:07:46Z</dcterms:created>
  <dcterms:modified xsi:type="dcterms:W3CDTF">2018-12-10T20:39:41Z</dcterms:modified>
</cp:coreProperties>
</file>